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1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8.xml" ContentType="application/vnd.openxmlformats-officedocument.spreadsheetml.worksheet+xml"/>
  <Override PartName="/xl/worksheets/sheet16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22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3.xml" ContentType="application/vnd.ms-office.chartstyle+xml"/>
  <Override PartName="/xl/charts/chart4.xml" ContentType="application/vnd.openxmlformats-officedocument.drawingml.chart+xml"/>
  <Override PartName="/xl/charts/chart3.xml" ContentType="application/vnd.openxmlformats-officedocument.drawingml.chart+xml"/>
  <Override PartName="/xl/charts/colors2.xml" ContentType="application/vnd.ms-office.chartcolorstyle+xml"/>
  <Override PartName="/xl/charts/style1.xml" ContentType="application/vnd.ms-office.chartstyle+xml"/>
  <Override PartName="/xl/charts/style4.xml" ContentType="application/vnd.ms-office.chartstyle+xml"/>
  <Override PartName="/xl/charts/colors3.xml" ContentType="application/vnd.ms-office.chartcolor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 Cover" sheetId="1" state="visible" r:id="rId3"/>
    <sheet name="01 Dashboard" sheetId="2" state="visible" r:id="rId4"/>
    <sheet name="02 Assumptions" sheetId="3" state="visible" r:id="rId5"/>
    <sheet name="03 CTS_by_Stream" sheetId="4" state="visible" r:id="rId6"/>
    <sheet name="04 Roadmap" sheetId="5" state="visible" r:id="rId7"/>
    <sheet name="05 P&amp;L" sheetId="6" state="visible" r:id="rId8"/>
    <sheet name="06 Cash-Flow" sheetId="7" state="visible" r:id="rId9"/>
    <sheet name="07 Balance_Sheet" sheetId="8" state="visible" r:id="rId10"/>
    <sheet name="08 Valuation" sheetId="9" state="visible" r:id="rId11"/>
    <sheet name="09 Funding" sheetId="10" state="visible" r:id="rId12"/>
    <sheet name="10 Returns" sheetId="11" state="visible" r:id="rId13"/>
    <sheet name="11 Monthly_Runway" sheetId="12" state="visible" r:id="rId14"/>
    <sheet name="12 Grant_Tracker" sheetId="13" state="visible" r:id="rId15"/>
    <sheet name="13 Legal_Risks" sheetId="14" state="visible" r:id="rId16"/>
    <sheet name="14 Recon_Controls" sheetId="15" state="visible" r:id="rId17"/>
    <sheet name="15 Data_Quality_Gates" sheetId="16" state="visible" r:id="rId18"/>
    <sheet name="16 A_ROOT_CostCenter" sheetId="17" state="visible" r:id="rId19"/>
    <sheet name="17 A_Drone_CostCenter" sheetId="18" state="visible" r:id="rId20"/>
    <sheet name="18 A_Node_CostCenter" sheetId="19" state="visible" r:id="rId21"/>
    <sheet name="19 A_eDNA_CostCenter" sheetId="20" state="visible" r:id="rId22"/>
    <sheet name="20 Depreciation" sheetId="21" state="visible" r:id="rId23"/>
    <sheet name="21 Downside" sheetId="22" state="visible" r:id="rId24"/>
    <sheet name="22 Debt_Schedule" sheetId="23" state="visible" r:id="rId25"/>
  </sheets>
  <definedNames>
    <definedName function="false" hidden="false" localSheetId="1" name="_xlnm.Print_Area" vbProcedure="false">'01 Dashboard'!$A$1:$M$61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<sst xmlns="http://schemas.openxmlformats.org/spreadsheetml/2006/main" count="2129" uniqueCount="1597">
  <si>
    <t xml:space="preserve">CeibaQ / AWAKEN AI</t>
  </si>
  <si>
    <t xml:space="preserve">FINANCIAL MODEL — full 3-statement investor pack (US$)</t>
  </si>
  <si>
    <t xml:space="preserve">Live, formula-linked. All figures management-estimate until first signed contract (GATE 0). Built CeibaQ-style.</t>
  </si>
  <si>
    <t xml:space="preserve">REVENUE 2035</t>
  </si>
  <si>
    <t xml:space="preserve">EBITDA 2035</t>
  </si>
  <si>
    <t xml:space="preserve">GROSS MARGIN 2035</t>
  </si>
  <si>
    <t xml:space="preserve">DCF VALUE (if executed)</t>
  </si>
  <si>
    <t xml:space="preserve">PRE-SEED — SAFE CAP (ceiling)</t>
  </si>
  <si>
    <t xml:space="preserve">2035 EXIT — UNICORN</t>
  </si>
  <si>
    <t xml:space="preserve">At a glance:</t>
  </si>
  <si>
    <t xml:space="preserve">Cumulative group cash 2035</t>
  </si>
  <si>
    <t xml:space="preserve">Founders post-seed (grant case)</t>
  </si>
  <si>
    <t xml:space="preserve">Grant needed (non-dilutive)</t>
  </si>
  <si>
    <t xml:space="preserve">EBITDA-positive from</t>
  </si>
  <si>
    <t xml:space="preserve">CONTENTS</t>
  </si>
  <si>
    <t xml:space="preserve">01 Dashboard</t>
  </si>
  <si>
    <t xml:space="preserve">Investor overview — KPIs + charts + scenario switch</t>
  </si>
  <si>
    <t xml:space="preserve">02 Assumptions</t>
  </si>
  <si>
    <t xml:space="preserve">All driver inputs</t>
  </si>
  <si>
    <t xml:space="preserve">03 CTS_by_Stream</t>
  </si>
  <si>
    <t xml:space="preserve">Unit economics / cost-to-serve per stream + price justification</t>
  </si>
  <si>
    <t xml:space="preserve">04 Roadmap</t>
  </si>
  <si>
    <t xml:space="preserve">Build phasing 2027–2035 + team per phase</t>
  </si>
  <si>
    <t xml:space="preserve">05 P&amp;L</t>
  </si>
  <si>
    <t xml:space="preserve">Income statement (2 scenarios)</t>
  </si>
  <si>
    <t xml:space="preserve">06 Cash-Flow</t>
  </si>
  <si>
    <t xml:space="preserve">Indirect, after-tax — ties to the Balance Sheet</t>
  </si>
  <si>
    <t xml:space="preserve">07 Balance_Sheet</t>
  </si>
  <si>
    <t xml:space="preserve">Consolidated (70% concession, 30% NCI) — balances</t>
  </si>
  <si>
    <t xml:space="preserve">08 Valuation</t>
  </si>
  <si>
    <t xml:space="preserve">DCF + three lenses + round structure</t>
  </si>
  <si>
    <t xml:space="preserve">09 Funding</t>
  </si>
  <si>
    <t xml:space="preserve">Cap table · anchor offer + privileges · 2 scenarios · F&amp;F</t>
  </si>
  <si>
    <t xml:space="preserve">10 Returns</t>
  </si>
  <si>
    <t xml:space="preserve">Investor MOIC / IRR per round (base &amp; stretch exit)</t>
  </si>
  <si>
    <t xml:space="preserve">11 Monthly_Runway</t>
  </si>
  <si>
    <t xml:space="preserve">Pre-seed $600k — 8-month plan + detailed budget</t>
  </si>
  <si>
    <t xml:space="preserve">12 Grant_Tracker</t>
  </si>
  <si>
    <t xml:space="preserve">Non-dilutive funding pipeline (27 grantors)</t>
  </si>
  <si>
    <t xml:space="preserve">13 Legal_Risks</t>
  </si>
  <si>
    <t xml:space="preserve">IFRS / DD risks + corporate / entity structure</t>
  </si>
  <si>
    <t xml:space="preserve">14 Recon_Controls</t>
  </si>
  <si>
    <t xml:space="preserve">Δ=0 cross-sheet integrity checks</t>
  </si>
  <si>
    <t xml:space="preserve">15 Data_Quality_Gates</t>
  </si>
  <si>
    <t xml:space="preserve">Confidence map (A/B/C) + what to verify</t>
  </si>
  <si>
    <t xml:space="preserve">16–19 Cost centers</t>
  </si>
  <si>
    <t xml:space="preserve">ROOT · Drone · Node · eDNA — BOM detail (backup)</t>
  </si>
  <si>
    <t xml:space="preserve">20 Depreciation</t>
  </si>
  <si>
    <t xml:space="preserve">Platform capitalization + IAS-20</t>
  </si>
  <si>
    <t xml:space="preserve">21 Downside</t>
  </si>
  <si>
    <t xml:space="preserve">Stress test — slower adoption · price · cost · grant slip</t>
  </si>
  <si>
    <t xml:space="preserve">22 Debt_Schedule</t>
  </si>
  <si>
    <t xml:space="preserve">Scenario B — concessional debt for ROOT</t>
  </si>
  <si>
    <t xml:space="preserve">CeibaQ / AWAKEN AI — INVESTOR OVERVIEW</t>
  </si>
  <si>
    <t xml:space="preserve">KPIs + dashboard, live from the model. All figures management-estimate until first signed contract (GATE 0).</t>
  </si>
  <si>
    <t xml:space="preserve">A · HEADLINE KPIs</t>
  </si>
  <si>
    <t xml:space="preserve">Revenue 2035</t>
  </si>
  <si>
    <t xml:space="preserve">⚙ SCENARIO SWITCH (flip the blue cell)</t>
  </si>
  <si>
    <t xml:space="preserve">Revenue CAGR 2028–35</t>
  </si>
  <si>
    <t xml:space="preserve">Scenario  (1 = WITH grant · 2 = WITHOUT grant)</t>
  </si>
  <si>
    <t xml:space="preserve">Gross margin 2035</t>
  </si>
  <si>
    <t xml:space="preserve">Platform funding</t>
  </si>
  <si>
    <t xml:space="preserve">D&amp;A 2035 (depreciation)</t>
  </si>
  <si>
    <t xml:space="preserve">EBITDA margin 2035</t>
  </si>
  <si>
    <t xml:space="preserve">EBIT 2035</t>
  </si>
  <si>
    <t xml:space="preserve">Cumulative group cash 2035 (incl. concession placeholder; data-only = Cash-Flow memo)</t>
  </si>
  <si>
    <t xml:space="preserve">Founders % (post-seed)</t>
  </si>
  <si>
    <t xml:space="preserve">Valuation today (DCF intrinsic)</t>
  </si>
  <si>
    <t xml:space="preserve">Extra dilutive capital needed</t>
  </si>
  <si>
    <t xml:space="preserve">Pre-seed today (market)</t>
  </si>
  <si>
    <t xml:space="preserve">Live switch: drives the summary above. The live statements stay on the grant base (tied); this shows the no-grant headline.</t>
  </si>
  <si>
    <t xml:space="preserve">2035 exit endpoint</t>
  </si>
  <si>
    <t xml:space="preserve">Grant required (non-dilutive, via TERI)</t>
  </si>
  <si>
    <t xml:space="preserve">EBITDA-positive from 2028 · self-funding from 2028 (grant + concession) · only funding gap = 2027 (~$2.1M bridge)</t>
  </si>
  <si>
    <t xml:space="preserve">B · KPIs BY YEAR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</si>
  <si>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</si>
  <si>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</si>
  <si>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</si>
  <si>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</si>
  <si>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</si>
  <si>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</si>
  <si>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</si>
  <si>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</si>
  <si>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</si>
  <si>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Revenue</t>
  </si>
  <si>
    <t xml:space="preserve">  Revenue growth %</t>
  </si>
  <si>
    <t xml:space="preserve">  Gross margin %</t>
  </si>
  <si>
    <t xml:space="preserve">EBITDA</t>
  </si>
  <si>
    <t xml:space="preserve">  EBITDA margin %</t>
  </si>
  <si>
    <t xml:space="preserve">  Rule of 40</t>
  </si>
  <si>
    <t xml:space="preserve">Cumulative group cash (incl. concession placeholder; data-only = Cash-Flow memo)</t>
  </si>
  <si>
    <t xml:space="preserve">C · GROSS MARGIN BY STREAM</t>
  </si>
  <si>
    <t xml:space="preserve">IS1</t>
  </si>
  <si>
    <t xml:space="preserve">IS3-A</t>
  </si>
  <si>
    <t xml:space="preserve">IS3-B</t>
  </si>
  <si>
    <t xml:space="preserve">IS3-C</t>
  </si>
  <si>
    <t xml:space="preserve">IS2-A</t>
  </si>
  <si>
    <t xml:space="preserve">IS2-B</t>
  </si>
  <si>
    <t xml:space="preserve">IS4</t>
  </si>
  <si>
    <t xml:space="preserve">IS5</t>
  </si>
  <si>
    <t xml:space="preserve">D · DASHBOARD</t>
  </si>
  <si>
    <t xml:space="preserve">IS2</t>
  </si>
  <si>
    <t xml:space="preserve">IS3</t>
  </si>
  <si>
    <t xml:space="preserve">CumCash</t>
  </si>
  <si>
    <t xml:space="preserve">CeibaQ — Cost-to-Serve Model · ASSUMPTIONS (single source of all drivers)</t>
  </si>
  <si>
    <t xml:space="preserve">Every downstream sheet references THIS sheet by formula. Orange = hardcoded input (edit here) · Blue = calculated. Conf: A=audited · B=engineering-triangulated · C=management estimate.</t>
  </si>
  <si>
    <t xml:space="preserve">A · MACRO &amp; POLICY</t>
  </si>
  <si>
    <t xml:space="preserve">Parameter</t>
  </si>
  <si>
    <t xml:space="preserve">Value</t>
  </si>
  <si>
    <t xml:space="preserve">Unit</t>
  </si>
  <si>
    <t xml:space="preserve">Source / conf</t>
  </si>
  <si>
    <t xml:space="preserve">Discount rate (WACC, model)</t>
  </si>
  <si>
    <t xml:space="preserve">%/yr</t>
  </si>
  <si>
    <t xml:space="preserve">C</t>
  </si>
  <si>
    <t xml:space="preserve">Default contract length</t>
  </si>
  <si>
    <t xml:space="preserve">years</t>
  </si>
  <si>
    <t xml:space="preserve">Own carbon credit price</t>
  </si>
  <si>
    <t xml:space="preserve">$/tCO₂e</t>
  </si>
  <si>
    <t xml:space="preserve">B — Art 6.2</t>
  </si>
  <si>
    <t xml:space="preserve">Own concession area — ROOT CALIBRATION footprint (ha · OUR land · COST base · ~1M cap, flat from 2029)</t>
  </si>
  <si>
    <t xml:space="preserve">ha</t>
  </si>
  <si>
    <t xml:space="preserve">Amortization recognised? (1=yes)</t>
  </si>
  <si>
    <t xml:space="preserve">toggle</t>
  </si>
  <si>
    <t xml:space="preserve">C — IFRS-gated</t>
  </si>
  <si>
    <t xml:space="preserve">ROOT-OpEx &amp; overhead allocation</t>
  </si>
  <si>
    <t xml:space="preserve">1=rev-share</t>
  </si>
  <si>
    <t xml:space="preserve">FX (model base)</t>
  </si>
  <si>
    <t xml:space="preserve">USD=1</t>
  </si>
  <si>
    <t xml:space="preserve">—</t>
  </si>
  <si>
    <t xml:space="preserve">B · ASSET COSTS — per-unit BASE (approved; build-up in A_*_CostCenter)</t>
  </si>
  <si>
    <t xml:space="preserve">Node ECHO — BASE</t>
  </si>
  <si>
    <t xml:space="preserve">$/node</t>
  </si>
  <si>
    <t xml:space="preserve">B — A_Node</t>
  </si>
  <si>
    <t xml:space="preserve">Node NEXUS-Hub — BASE</t>
  </si>
  <si>
    <t xml:space="preserve">Node HYDRO — BASE</t>
  </si>
  <si>
    <t xml:space="preserve">Node NEXUS-Core — BASE</t>
  </si>
  <si>
    <t xml:space="preserve">Attrition — ECHO / HYDRO</t>
  </si>
  <si>
    <t xml:space="preserve">B — Olha</t>
  </si>
  <si>
    <t xml:space="preserve">Attrition — Hub / Core</t>
  </si>
  <si>
    <t xml:space="preserve">Node maintenance + connectivity</t>
  </si>
  <si>
    <t xml:space="preserve">$/node/yr</t>
  </si>
  <si>
    <t xml:space="preserve">→ ECHO OpEx/yr</t>
  </si>
  <si>
    <t xml:space="preserve">calc</t>
  </si>
  <si>
    <t xml:space="preserve">→ Hub OpEx/yr</t>
  </si>
  <si>
    <t xml:space="preserve">→ HYDRO OpEx/yr</t>
  </si>
  <si>
    <t xml:space="preserve">→ Core OpEx/yr</t>
  </si>
  <si>
    <t xml:space="preserve">eDNA — BASE per sample</t>
  </si>
  <si>
    <t xml:space="preserve">$/sample</t>
  </si>
  <si>
    <t xml:space="preserve">B — A_eDNA</t>
  </si>
  <si>
    <t xml:space="preserve">Drone system — CapEx</t>
  </si>
  <si>
    <t xml:space="preserve">$</t>
  </si>
  <si>
    <t xml:space="preserve">B — Drones_M</t>
  </si>
  <si>
    <t xml:space="preserve">Drone — field OpEx/yr</t>
  </si>
  <si>
    <t xml:space="preserve">$/yr</t>
  </si>
  <si>
    <t xml:space="preserve">Drone — capacity</t>
  </si>
  <si>
    <t xml:space="preserve">scan-ha/yr</t>
  </si>
  <si>
    <t xml:space="preserve">Drone (bought, Skyeton) $/scan-ha</t>
  </si>
  <si>
    <t xml:space="preserve">$/scan-ha</t>
  </si>
  <si>
    <t xml:space="preserve">B</t>
  </si>
  <si>
    <t xml:space="preserve">ROOT platform — CapEx (calibration backbone built on the concession)</t>
  </si>
  <si>
    <t xml:space="preserve">B — A_ROOT</t>
  </si>
  <si>
    <t xml:space="preserve">ROOT platform — OpEx/yr (FLAT — tied to the ~1M-ha concession, NOT to licensed coverage)</t>
  </si>
  <si>
    <t xml:space="preserve">C · USEFUL LIVES &amp; AMORTIZATION (feeds L3 / D&amp;A — not cash CTS)</t>
  </si>
  <si>
    <t xml:space="preserve">Asset class</t>
  </si>
  <si>
    <t xml:space="preserve">Life</t>
  </si>
  <si>
    <t xml:space="preserve">Sensor nodes</t>
  </si>
  <si>
    <t xml:space="preserve">Drone system</t>
  </si>
  <si>
    <t xml:space="preserve">LiDAR sensor (RIEGL)</t>
  </si>
  <si>
    <t xml:space="preserve">ROOT — blended (model)</t>
  </si>
  <si>
    <t xml:space="preserve">  ROOT instruments (flux/lab)</t>
  </si>
  <si>
    <t xml:space="preserve">  ROOT towers / civil</t>
  </si>
  <si>
    <t xml:space="preserve">  ROOT platform / software</t>
  </si>
  <si>
    <t xml:space="preserve">  eDNA reference library (intangible)</t>
  </si>
  <si>
    <t xml:space="preserve">D · DENSITY RULES — units per 100,000 ha · applies to NODES + DRONE + eDNA (from NodeDensity_Model)</t>
  </si>
  <si>
    <t xml:space="preserve">Stream</t>
  </si>
  <si>
    <t xml:space="preserve">ECHO</t>
  </si>
  <si>
    <t xml:space="preserve">Hub</t>
  </si>
  <si>
    <t xml:space="preserve">Core</t>
  </si>
  <si>
    <t xml:space="preserve">HYDRO</t>
  </si>
  <si>
    <t xml:space="preserve">Drone cov%</t>
  </si>
  <si>
    <t xml:space="preserve">Passes/yr</t>
  </si>
  <si>
    <t xml:space="preserve">eDNA/100k</t>
  </si>
  <si>
    <t xml:space="preserve">IS1 degradation license</t>
  </si>
  <si>
    <t xml:space="preserve">IS2 data license</t>
  </si>
  <si>
    <t xml:space="preserve">IS3 carbon (MaaS)</t>
  </si>
  <si>
    <t xml:space="preserve">IS3 bio (full grid)</t>
  </si>
  <si>
    <t xml:space="preserve">  IS3 bio — acoustic+camera add-on</t>
  </si>
  <si>
    <t xml:space="preserve">IS4 outcome verification</t>
  </si>
  <si>
    <t xml:space="preserve">IS5 ecosystem-state (SEEA)</t>
  </si>
  <si>
    <t xml:space="preserve">IS1 — price $/ha (⚠ least-verified; sensitivity $0.10–0.40; govt own-budget WTP ≈ $0)</t>
  </si>
  <si>
    <t xml:space="preserve">E · VOLUMES &amp; RAMP — how much we sell each year (drives revenue &amp; total cost)  ⚠ MANAGEMENT ESTIMATE — ratify</t>
  </si>
  <si>
    <t xml:space="preserve">Stream / driver</t>
  </si>
  <si>
    <t xml:space="preserve">IS1 — LICENSED COVERAGE (ha under jurisdictional licence · THIRD-PARTY land, NOT ours · REVENUE base · marginal cost ≈ 0)</t>
  </si>
  <si>
    <t xml:space="preserve">IS2-A — # clients (Data license, no eDNA, 70%)</t>
  </si>
  <si>
    <t xml:space="preserve">IS2-B — # clients (Data license + eDNA, 30%)</t>
  </si>
  <si>
    <t xml:space="preserve">IS3-A — carbon ha serviced</t>
  </si>
  <si>
    <t xml:space="preserve">IS3-B — bio ha serviced</t>
  </si>
  <si>
    <t xml:space="preserve">IS3-C — full (carbon+bio) ha serviced</t>
  </si>
  <si>
    <t xml:space="preserve">IS4 — bonds serviced ($ face value)</t>
  </si>
  <si>
    <t xml:space="preserve">IS5 — # jurisdictions (SEEA; +1/yr from 2030)</t>
  </si>
  <si>
    <t xml:space="preserve">⚠ Management estimate — ratify. IS1 driver = LICENSED COVERAGE (third-party jurisdictions), a different metric from our concession (row 9). Licensed coverage is a probability-gated PRODUCT-adoption (GATE 0 = first signed jurisdictional contract), NOT our land.</t>
  </si>
  <si>
    <t xml:space="preserve">F · DERIVED UNIT RATES — calculated from inputs above (not entered by hand)</t>
  </si>
  <si>
    <t xml:space="preserve">Rate</t>
  </si>
  <si>
    <t xml:space="preserve">Drone (own) — cost / scan-ha</t>
  </si>
  <si>
    <t xml:space="preserve">G · WORKING CAPITAL · FX · FINANCING · TAX (for cashflow — CFO completeness)</t>
  </si>
  <si>
    <t xml:space="preserve">DSO — government / jurisdiction clients</t>
  </si>
  <si>
    <t xml:space="preserve">days</t>
  </si>
  <si>
    <t xml:space="preserve">DSO — corporate / data clients</t>
  </si>
  <si>
    <t xml:space="preserve">DPO — vendors</t>
  </si>
  <si>
    <t xml:space="preserve">Cost inflation — USD lines</t>
  </si>
  <si>
    <t xml:space="preserve">Cost inflation — PEN lines</t>
  </si>
  <si>
    <t xml:space="preserve">Price escalation</t>
  </si>
  <si>
    <t xml:space="preserve">OpEx denominated in PEN</t>
  </si>
  <si>
    <t xml:space="preserve">%</t>
  </si>
  <si>
    <t xml:space="preserve">PEN / USD rate</t>
  </si>
  <si>
    <t xml:space="preserve">PEN=1USD</t>
  </si>
  <si>
    <t xml:space="preserve">Financing — grant (ROOT, non-dilutive)</t>
  </si>
  <si>
    <t xml:space="preserve">Financing — DFI debt</t>
  </si>
  <si>
    <t xml:space="preserve">Financing — equity</t>
  </si>
  <si>
    <t xml:space="preserve">Corporate income tax (Peru)</t>
  </si>
  <si>
    <t xml:space="preserve">B — Ley 27037</t>
  </si>
  <si>
    <t xml:space="preserve">Contingency on CapEx</t>
  </si>
  <si>
    <t xml:space="preserve">ABS royalty on eDNA revenue</t>
  </si>
  <si>
    <t xml:space="preserve">B — SC-004</t>
  </si>
  <si>
    <t xml:space="preserve">Carbon buffer-pool / non-permanence</t>
  </si>
  <si>
    <t xml:space="preserve">Σ Total platform build (grant+debt+equity → ties to $19.3M)</t>
  </si>
  <si>
    <t xml:space="preserve">H · SCENARIO &amp; SENSITIVITY TOGGLES (DD downside — added per CFO + Baker McKenzie)</t>
  </si>
  <si>
    <t xml:space="preserve">Toggle / driver</t>
  </si>
  <si>
    <t xml:space="preserve">Base</t>
  </si>
  <si>
    <t xml:space="preserve">Downside</t>
  </si>
  <si>
    <t xml:space="preserve">What it drives</t>
  </si>
  <si>
    <t xml:space="preserve">Scenario selector</t>
  </si>
  <si>
    <t xml:space="preserve">Downside / Upside</t>
  </si>
  <si>
    <t xml:space="preserve">Master switch: Base / Downside / Upside — drives the toggles below + ramp speed (future P&amp;L).</t>
  </si>
  <si>
    <t xml:space="preserve">Own carbon credit price (Art 6.2)</t>
  </si>
  <si>
    <t xml:space="preserve">$30/t needs Peru Art 6.2 authorization + corresponding adjustment; absent it → ~$8/t voluntary (4× swing on own-credit revenue).</t>
  </si>
  <si>
    <t xml:space="preserve">IAS 20 grant-netting (0=gross / 1=net)</t>
  </si>
  <si>
    <t xml:space="preserve">⚠ Toggles are documented drivers for the downside case + future P&amp;L/Cashflow; full logic wires in when those sheets are built. Explanations → Legal_Risks sheet.</t>
  </si>
  <si>
    <t xml:space="preserve">⚠ TWO HECTARE METRICS — NEVER CONFLATE (this confused even expert reviewers)</t>
  </si>
  <si>
    <t xml:space="preserve">① CONCESSION / ROOT-CALIBRATION footprint (rows 9, 31–32) = OUR land where ROOT runs. 90k ha (2026) → ~1M ha by 2029 → then FLAT. The COST base: drives ROOT CapEx ($19.3M) + OpEx ($3.15M/yr, fixed). Does NOT grow with sales.</t>
  </si>
  <si>
    <t xml:space="preserve">② LICENSED COVERAGE (row 56 = IS1) = THIRD-PARTY jurisdictions buying our MRV licence. 35M → 295M ha. The REVENUE base. Marginal cost per licensed ha ≈ 0. Probability-gated product adoption (GATE 0).</t>
  </si>
  <si>
    <t xml:space="preserve">→ THE GAP IS THE MOAT: build calibration ONCE on ~1M ha → license MRV across millions of ha at ~0 marginal cost. Fixed cost ÷ growing coverage = operating leverage → margin 37%→71%. ROOT OpEx staying FLAT is CORRECT — tied to the concession, NOT to licensed coverage.</t>
  </si>
  <si>
    <t xml:space="preserve">Cost-to-Serve &amp; Margin by Income Stream (live)</t>
  </si>
  <si>
    <t xml:space="preserve">⚠ KEY: ROOT cost is a FIXED calibration backbone on our ~1M-ha concession — it is allocated across LICENSED COVERAGE (millions of third-party ha), which is why cost-per-licensed-ha falls toward ~0 (operating leverage). Concession ha (cost base) ≠ licensed ha (revenue base).</t>
  </si>
  <si>
    <t xml:space="preserve">TABLE 1 — PER-HECTARE streams (scale-law applied: grid nodes ×(area/100k)^-0.8, eDNA ×^-0.4)</t>
  </si>
  <si>
    <t xml:space="preserve">Density rule</t>
  </si>
  <si>
    <t xml:space="preserve">Calculated area* ha</t>
  </si>
  <si>
    <t xml:space="preserve">Nodes $/ha</t>
  </si>
  <si>
    <t xml:space="preserve">Drone $/ha</t>
  </si>
  <si>
    <t xml:space="preserve">eDNA $/ha</t>
  </si>
  <si>
    <t xml:space="preserve">COST L1 $/ha</t>
  </si>
  <si>
    <t xml:space="preserve">ROOT $/ha</t>
  </si>
  <si>
    <t xml:space="preserve">COST L2 $/ha</t>
  </si>
  <si>
    <t xml:space="preserve">Deprec. $/ha</t>
  </si>
  <si>
    <t xml:space="preserve">COST L3 $/ha</t>
  </si>
  <si>
    <t xml:space="preserve">Price $/ha</t>
  </si>
  <si>
    <t xml:space="preserve">Contrib %</t>
  </si>
  <si>
    <t xml:space="preserve">IS1 · Jurisdictional</t>
  </si>
  <si>
    <t xml:space="preserve">8 ECHO + 6 HYDRO (front/topology — no grid-scale) · drone 20%×2</t>
  </si>
  <si>
    <t xml:space="preserve">IS3-A · MaaS Carbon</t>
  </si>
  <si>
    <t xml:space="preserve">40E/12H/4C +12 HYDRO · drone 30%×2</t>
  </si>
  <si>
    <t xml:space="preserve">IS3-B · MaaS Bio</t>
  </si>
  <si>
    <t xml:space="preserve">40E/64H/22C +12 HYDRO · drone 35%×2 · eDNA 240</t>
  </si>
  <si>
    <t xml:space="preserve">IS3-C · MaaS Full</t>
  </si>
  <si>
    <t xml:space="preserve">same deployment as Bio · sells both products</t>
  </si>
  <si>
    <t xml:space="preserve">TABLE 2 — NON-per-hectare streams</t>
  </si>
  <si>
    <t xml:space="preserve">COST</t>
  </si>
  <si>
    <t xml:space="preserve">ROOT</t>
  </si>
  <si>
    <t xml:space="preserve">COST L2</t>
  </si>
  <si>
    <t xml:space="preserve">Price</t>
  </si>
  <si>
    <t xml:space="preserve">IS2-A · Data license (no eDNA)</t>
  </si>
  <si>
    <t xml:space="preserve">per client/yr</t>
  </si>
  <si>
    <t xml:space="preserve">IS2-B · Data license + eDNA</t>
  </si>
  <si>
    <t xml:space="preserve">IS4 · Outcome verif</t>
  </si>
  <si>
    <t xml:space="preserve">per $100M bond/yr</t>
  </si>
  <si>
    <t xml:space="preserve">IS5 · SEEA</t>
  </si>
  <si>
    <t xml:space="preserve">per jurisdiction</t>
  </si>
  <si>
    <t xml:space="preserve">PORTFOLIO SUMMARY (2035, gross contribution)</t>
  </si>
  <si>
    <t xml:space="preserve">Portfolio revenue 2035</t>
  </si>
  <si>
    <t xml:space="preserve">Portfolio L2 cost 2035</t>
  </si>
  <si>
    <t xml:space="preserve">BLENDED contribution margin %</t>
  </si>
  <si>
    <t xml:space="preserve">FOOTNOTES (under Table 1 &amp; Table 2)</t>
  </si>
  <si>
    <t xml:space="preserve">* Calculated area = reference area for the density rule. For IS1: 35M ha = minimum area that loads one drone at ~100% (cluster). Full clusters table in A_Drone_CostCenter.</t>
  </si>
  <si>
    <t xml:space="preserve">** IS2 = two tiers — Data license (no eDNA) $300k for 70% of clients · Data license + eDNA $550k for 30%. Fixed serving (egress+compute+security) spread over clients → marginal cost/client ≈ $0.</t>
  </si>
  <si>
    <t xml:space="preserve">ROOT ALLOCATION — manual fixed % (IS1 40 · IS2 30 · IS3 8 · IS4 12 · IS5 10)</t>
  </si>
  <si>
    <t xml:space="preserve">ROOT share %</t>
  </si>
  <si>
    <t xml:space="preserve">ROOT share $</t>
  </si>
  <si>
    <t xml:space="preserve">Serviced 2035</t>
  </si>
  <si>
    <t xml:space="preserve">ROOT per unit</t>
  </si>
  <si>
    <t xml:space="preserve">IS2 (A+B)</t>
  </si>
  <si>
    <t xml:space="preserve">IS3 (A+B+C)</t>
  </si>
  <si>
    <t xml:space="preserve">TOTAL</t>
  </si>
  <si>
    <t xml:space="preserve">Each stream bears a fixed share of ROOT OpEx ($3.15M). ROOT per unit = share $ ÷ serviced volume 2035 (ha for IS1/IS3, units for IS2/IS4/IS5). Replaces revenue-share.</t>
  </si>
  <si>
    <t xml:space="preserve">REVENUE MIX 2035</t>
  </si>
  <si>
    <t xml:space="preserve">% of revenue</t>
  </si>
  <si>
    <t xml:space="preserve">IS1/IS5 hectare basis = 14 jurisdictional clusters (44 jurisdictions, ~590M ha) → see A_Drone_CostCenter (drone-utilization economics: clustering drops $/ha to ~$0.040).</t>
  </si>
  <si>
    <t xml:space="preserve">⚠ Margins = GROSS CONTRIBUTION (before full ROOT recovery, depreciation, and all S&amp;M/G&amp;A) — not net profit. ⚠ All prices = management estimates; 0 signed buyer LOIs as of 2026-06; every margin moves 1:1 with price.</t>
  </si>
  <si>
    <t xml:space="preserve">PRICE JUSTIFICATION — by income stream  (essence in bold · ⚠ contested in orange)</t>
  </si>
  <si>
    <t xml:space="preserve">Justification</t>
  </si>
  <si>
    <t xml:space="preserve">VALUE DRIVER, not a cost ($0.20/ha/yr). Under ART-TREES 2.0 (§8, Eq.10–11) creditable tonnes are deducted by 0.3188 × the 90%-CI of measurement uncertainty, with no free allowance (TREES 1.0’s "15%" was removed). CeibaQ’s in-situ sensors + drone-LiDAR cut sub-canopy degradation uncertainty from a satellite-only ~60% to ~30% CI, recovering ~0.038 tCO₂e/ha/yr of otherwise-deducted credits — worth $0.38–0.57/ha at LEAF ($10–15/t) or $1.15–1.53/ha at Article 6.2 ($30–40/t) against our $0.20/ha fee, so the jurisdiction earns back 2–8× what it pays us. Free satellite data (Global Forest Watch) cannot substitute — it does not see under the canopy. + EUDR: the same degradation-detection capability also produces EU Deforestation Regulation traceability; the value-creating product is IS1. ⚠ Mechanism verified from the ART-TREES primary source; ROI magnitude is pilot-gated (defensible 60→30% bracket, not yet a paired study).</t>
  </si>
  <si>
    <t xml:space="preserve">IS2 · Data license (2 tiers)</t>
  </si>
  <si>
    <t xml:space="preserve">Tiered data license — $300k (no eDNA, 70%) · $550k (+ eDNA, 30%) — sits inside the real market band. Both tiers sit at/above the observed enterprise nature-data band — Sylvera licenses run $50–250k ($15M ARR); NatureMetrics has 600+ clients (Unilever/Nestlé/Tesco) — so it is a price buyers already pay competitors; the eDNA tier is a premium for our differentiated biodiversity layer. For a reinsurer pricing basis risk or an ESG/EUDR importer’s compliance exposure ($M–$Bn), this is &lt;&lt;1% of the risk it de-risks, while our marginal cost per client ≈ $0 (it licenses the already-built ROOT). ⚠ The binding constraint is willingness, not affordability: we must sell a verified rating / calibration layer the buyer puts in front of its risk committee — not raw data, which they can get free.</t>
  </si>
  <si>
    <t xml:space="preserve">IS3 · Monitoring (Carbon/Bio/Full)</t>
  </si>
  <si>
    <t xml:space="preserve">Priced for high-integrity buyers — Carbon $0.50 · Bio $1.50 · Full $2.00/ha. Set deliberately below the original $1–3/ha so the product clears against high-integrity economics, not bulk voluntary. At Article 6.2 prices a tonne is worth $30–40 (vs ~$6 voluntary), so on ~0.4 tCO₂e/ha the developer’s carbon revenue is ~$12–16/ha and our $0.50/ha carbon monitoring is only ~3–4% of it (vs ~21% on voluntary — which is why we target Art 6.2). Carbon is the thin-margin integrity/entry tier that lands the multi-year relationship; margin is earned on Bio ($1.50) and Full ($2.00), where one shared field deployment serves both signals. The developer also recovers uncertainty-deducted tonnes (same ART mechanism), so monitoring partly pays for itself. ⚠ Bio has no settled per-hectare buyer-income benchmark → indicative until a recognised biodiversity standard monetises it (Verra Nature Framework, live 2026).</t>
  </si>
  <si>
    <t xml:space="preserve">15 bps of bond face ($150k per $100M/yr) — premium ceiling, not a benchmark. No outcome-verifier fee is disclosed anywhere — the Rhino Bond verifier fee, the SPO "big five", and SLB KPI verifiers are all undisclosed — so there is no hard comp. The only disclosed anchor is desk-grade review (Climate Bonds certification ~0.1 bps; full SPO + assurance ~$20–100k ≈ 0.4–2 bps/yr), but CeibaQ’s IS4 is field-grade, cash-gating ecological verification (the Rhino "count-and-verify" model that releases the coupon) — materially more than a paper opinion, justifying a premium above the ~2 bps desk ceiling. We take 15 bps as that ceiling; against our ~$90k/bond fixed cost it earns margin on large instruments ($300M+). ⚠ Judgment, not a comp — indicative until the first signed verification mandate.</t>
  </si>
  <si>
    <t xml:space="preserve">Per jurisdiction as a deliverable, not per-ha — $525k ($400–650k range). The SEEA / natural-capital world buys systems, accounts and reports, not per-ha data, so IS5 is priced per jurisdiction against a real anchor — World Bank GPS pays $50–250k/country for ecosystem-account builds, and our full SEEA-EA account (extent + condition + services) for a ~3-subtype jurisdiction runs $400–650k. It is an upsell on IS1: the field layer is already deployed, so the incremental cost is low and the margin a deliberately thin 25–40% — IS5 is a moat/credibility stream, not a profit center. ⚠ Demand is statutory but latent (CBD Target 21 + SEEA-EA create the pull; GBFF/GEF pays) — but Peru does not yet compile SEEA → $0 in the base case until 2030, modelled as an attach-rate option on the live IS1 base.</t>
  </si>
  <si>
    <t xml:space="preserve">PRODUCT-DEVELOPMENT ROADMAP — CeibaQ</t>
  </si>
  <si>
    <t xml:space="preserve">Sequencing per Olha (2026-06-18, revises SC-007 phasing). Investor-readable: each year ships a complete product; internal codenames removed.</t>
  </si>
  <si>
    <t xml:space="preserve">THE FIVE PRODUCTS (plain-English)</t>
  </si>
  <si>
    <t xml:space="preserve">Product</t>
  </si>
  <si>
    <t xml:space="preserve">First sold</t>
  </si>
  <si>
    <t xml:space="preserve">Who pays</t>
  </si>
  <si>
    <t xml:space="preserve">What they receive</t>
  </si>
  <si>
    <t xml:space="preserve">IS1 · Jurisdictional Verification License</t>
  </si>
  <si>
    <t xml:space="preserve">Governments / jurisdictions (REDD+ programs)</t>
  </si>
  <si>
    <t xml:space="preserve">Independently verified forest-degradation &amp; integrity data underpinning their carbon/nature programs</t>
  </si>
  <si>
    <t xml:space="preserve">IS2 · Enterprise Data License</t>
  </si>
  <si>
    <t xml:space="preserve">Corporates · reinsurers · supply-chain / ESG</t>
  </si>
  <si>
    <t xml:space="preserve">Subscription access to our forest-condition &amp; biodiversity data layer (two tiers: with / without eDNA)</t>
  </si>
  <si>
    <t xml:space="preserve">IS3 · Monitoring-as-a-Service</t>
  </si>
  <si>
    <t xml:space="preserve">Carbon-project developers</t>
  </si>
  <si>
    <t xml:space="preserve">Continuous measurement &amp; reporting (MRV) with uncertainty + provenance, delivered via API</t>
  </si>
  <si>
    <t xml:space="preserve">IS4 · Outcome Verification</t>
  </si>
  <si>
    <t xml:space="preserve">Green- / nature-bond issuers</t>
  </si>
  <si>
    <t xml:space="preserve">Independent verification of the nature outcomes a bond is financing</t>
  </si>
  <si>
    <t xml:space="preserve">IS5 · Natural-Capital Accounting (SEEA)</t>
  </si>
  <si>
    <t xml:space="preserve">Governments</t>
  </si>
  <si>
    <t xml:space="preserve">National ecosystem accounts built to the UN SEEA standard</t>
  </si>
  <si>
    <t xml:space="preserve">A · PHASED TIMELINE</t>
  </si>
  <si>
    <t xml:space="preserve">Year</t>
  </si>
  <si>
    <t xml:space="preserve">Goal</t>
  </si>
  <si>
    <t xml:space="preserve">What we build</t>
  </si>
  <si>
    <t xml:space="preserve">Product shipped</t>
  </si>
  <si>
    <t xml:space="preserve">Key gates / risks</t>
  </si>
  <si>
    <t xml:space="preserve">2027 · Year 1</t>
  </si>
  <si>
    <t xml:space="preserve">Build the data foundation and ship our first and primary product — the Jurisdictional Verification License. It is the easiest, grant-funded stream: it needs the drone fleet, eDNA sampling (guaranteed, because the government — not us — orders sampling on its own concessions) and calibrated sensor nodes — none of which require the flux towers.</t>
  </si>
  <si>
    <t xml:space="preserve">• Data-integration &amp; fusion platform — FULLY operational
• Biological reference library (tree-species + soil/water) — 50%
• External data &amp; recognition libraries (satellite, acoustic, spectral) — 50%
• Acquire &amp; launch the R&amp;D campus near Iquitos (20 staff)
• Fully equip the 90,000 ha pilot concession: in-forest sensor network + sample plots + Indigenous consent (FPIC)
• Build the environmental-DNA (eDNA) lab + obtain all eDNA legal permissions
• Flux-tower PREPARATION only — siting / permitting / engineering (~10% of tower cost, both towers); NO tower install this year
• Legal build: data-title legal opinion · concession data-transfer clause review · intercompany data-license · legal groundwork for future concessions
• Purchase first LiDAR drone fleet + flight certification + train pilots &amp; operations team</t>
  </si>
  <si>
    <t xml:space="preserve">Jurisdictional Verification License (IS1)</t>
  </si>
  <si>
    <t xml:space="preserve">First signed jurisdictional contract (locks our per-hectare pricing) · data-title legal opinion in hand · all eDNA permits granted. Year 1 builds data + nodes only — towers are not yet installed.</t>
  </si>
  <si>
    <t xml:space="preserve">2028 · Year 2</t>
  </si>
  <si>
    <t xml:space="preserve">Install the flux towers (our carbon-flux ground-truth) and ship the Enterprise Data License and Monitoring-as-a-Service.</t>
  </si>
  <si>
    <t xml:space="preserve">• Full installation of BOTH eddy-covariance flux towers — terra-firme (#1) + floodplain (#2)
• Complete the biological reference + external libraries (remaining 50%)
• 4,500 reference voucher samples — field collection (tree + soil/water, Loreto)
• Genetic barcoding of the reference samples (amplicon / Sanger; rbcL + matK + ITS / COI markers)
• Expand concessions by +250,000 ha — equipped with sensor nodes + sample plots</t>
  </si>
  <si>
    <t xml:space="preserve">Enterprise Data License (IS2) + Monitoring-as-a-Service (IS3)</t>
  </si>
  <si>
    <t xml:space="preserve">Flux towers commissioned · independent verifier (VVB) acceptance of the monitoring output for carbon-developer buyers.</t>
  </si>
  <si>
    <t xml:space="preserve">2029 · Year 3</t>
  </si>
  <si>
    <t xml:space="preserve">Complete the AI digital twin and ship the full product suite.</t>
  </si>
  <si>
    <t xml:space="preserve">• AI / ML models + digital twin of the forest
• Expand the eDNA reference library to 16,000 taxa
• Expand concessions by +650,000 ha — fully equipped with nodes + sample plots</t>
  </si>
  <si>
    <t xml:space="preserve">Outcome Verification (IS4) + Natural-Capital Accounting / SEEA (IS5) — full five-stream suite live</t>
  </si>
  <si>
    <t xml:space="preserve">Digital-twin calibration complete · eDNA library completed with benefit-sharing (ABS) in place.</t>
  </si>
  <si>
    <t xml:space="preserve">2030 · Year 4</t>
  </si>
  <si>
    <t xml:space="preserve">Steady-state operations; reach EBITDA-positive.</t>
  </si>
  <si>
    <t xml:space="preserve">• Final digital-twin calibration
• Steady-state operation of all systems — no major new build</t>
  </si>
  <si>
    <t xml:space="preserve">All five products live and generating revenue</t>
  </si>
  <si>
    <t xml:space="preserve">EBITDA-positive · financial-audit (IFRS) sign-off.</t>
  </si>
  <si>
    <t xml:space="preserve">2031+ · Years 5–2035</t>
  </si>
  <si>
    <t xml:space="preserve">Scale across jurisdictions toward the unicorn trajectory.</t>
  </si>
  <si>
    <t xml:space="preserve">• Replicate the platform across new jurisdictions (marginal field cost only)
• Per-jurisdiction onboarding (agreements, accounts, node calibration)</t>
  </si>
  <si>
    <t xml:space="preserve">Same suite, scaled — hectares grow toward Amazon-wide; revenue ramps to ~$107M by 2035</t>
  </si>
  <si>
    <t xml:space="preserve">Signed jurisdictional clusters drive the per-hectare economics · $1B valuation target 2035 (15–25% probability).</t>
  </si>
  <si>
    <t xml:space="preserve">B · CORPORATE OVERHEAD BY YEAR (net-new only → feeds the P&amp;L)</t>
  </si>
  <si>
    <t xml:space="preserve">Executive</t>
  </si>
  <si>
    <t xml:space="preserve">Sales &amp; Marketing</t>
  </si>
  <si>
    <t xml:space="preserve">Research &amp; Innovation</t>
  </si>
  <si>
    <t xml:space="preserve">Product &amp; Customer Delivery</t>
  </si>
  <si>
    <t xml:space="preserve">Legal &amp; Compliance</t>
  </si>
  <si>
    <t xml:space="preserve">G&amp;A</t>
  </si>
  <si>
    <t xml:space="preserve">TOTAL net-new</t>
  </si>
  <si>
    <t xml:space="preserve">Σ 2027–2035</t>
  </si>
  <si>
    <t xml:space="preserve">Sales &amp; Marketing PEAKS during jurisdiction-acquisition (2028–32) then TAPERS — jurisdictional licenses are long-term (5–20 yr), so the book shifts to renewals / account-management, not new-logo hunting. Research &amp; Innovation is a separate, growing line: sustained reinvestment in new methods &amp; products is the moat (distinct from platform-maintenance, already in cost-of-serve). Legal &amp; Compliance is its own sustained line.</t>
  </si>
  <si>
    <t xml:space="preserve">C · TEAM BY PHASE  (build/run teams are already inside cost-of-serve = COGS; only net-new is overhead)</t>
  </si>
  <si>
    <t xml:space="preserve">Team</t>
  </si>
  <si>
    <t xml:space="preserve">FTE</t>
  </si>
  <si>
    <t xml:space="preserve">Annual $</t>
  </si>
  <si>
    <t xml:space="preserve">Bucket</t>
  </si>
  <si>
    <t xml:space="preserve">Builds / serves</t>
  </si>
  <si>
    <t xml:space="preserve">Data platform &amp; AI/recognition team</t>
  </si>
  <si>
    <t xml:space="preserve">COGS (cost-of-serve)</t>
  </si>
  <si>
    <t xml:space="preserve">Fusion platform + satellite/acoustic recognition models</t>
  </si>
  <si>
    <t xml:space="preserve">Bio-reference &amp; field/node crews + FPIC (libraries 50%)</t>
  </si>
  <si>
    <t xml:space="preserve">90k ha nodes, sample plots, Indigenous consent, reference collection</t>
  </si>
  <si>
    <t xml:space="preserve">eDNA laboratory team</t>
  </si>
  <si>
    <t xml:space="preserve">Build lab, run sampling/sequencing</t>
  </si>
  <si>
    <t xml:space="preserve">LiDAR drone fleet — operators &amp; pilots</t>
  </si>
  <si>
    <t xml:space="preserve">Fly degradation baseline; certification &amp; training</t>
  </si>
  <si>
    <t xml:space="preserve">R&amp;D campus near Iquitos</t>
  </si>
  <si>
    <t xml:space="preserve">Research operations hub</t>
  </si>
  <si>
    <t xml:space="preserve">Executive (CEO / CFO / CSO)</t>
  </si>
  <si>
    <t xml:space="preserve">NET-NEW overhead</t>
  </si>
  <si>
    <t xml:space="preserve">Company leadership</t>
  </si>
  <si>
    <t xml:space="preserve">General Counsel + finance / admin</t>
  </si>
  <si>
    <t xml:space="preserve">Data-title, concessions, permits, reporting</t>
  </si>
  <si>
    <t xml:space="preserve">Business development</t>
  </si>
  <si>
    <t xml:space="preserve">Lands first jurisdictional contract</t>
  </si>
  <si>
    <t xml:space="preserve">Commercial / product delivery</t>
  </si>
  <si>
    <t xml:space="preserve">Packages &amp; delivers IS1</t>
  </si>
  <si>
    <t xml:space="preserve">Flux-tower operations &amp; maintenance</t>
  </si>
  <si>
    <t xml:space="preserve">Run both towers once installed</t>
  </si>
  <si>
    <t xml:space="preserve">Reference completion + barcoding lab</t>
  </si>
  <si>
    <t xml:space="preserve">Finish libraries, 4,500 vouchers, genetic barcoding</t>
  </si>
  <si>
    <t xml:space="preserve">Platform run-team</t>
  </si>
  <si>
    <t xml:space="preserve">Operate the live data platform / API</t>
  </si>
  <si>
    <t xml:space="preserve">+250k ha node &amp; plot crews</t>
  </si>
  <si>
    <t xml:space="preserve">Variable field cost-to-serve, scales with hectares</t>
  </si>
  <si>
    <t xml:space="preserve">Sales &amp; marketing (Head of Sales + reps)</t>
  </si>
  <si>
    <t xml:space="preserve">Sell IS2 + IS3</t>
  </si>
  <si>
    <t xml:space="preserve">Commercial product mgr + customer success</t>
  </si>
  <si>
    <t xml:space="preserve">Onboard data &amp; monitoring clients</t>
  </si>
  <si>
    <t xml:space="preserve">Executive + G&amp;A scale</t>
  </si>
  <si>
    <t xml:space="preserve">Multi-product operations</t>
  </si>
  <si>
    <t xml:space="preserve">AI / ML + digital-twin team</t>
  </si>
  <si>
    <t xml:space="preserve">Build the forest digital twin &amp; verification AI</t>
  </si>
  <si>
    <t xml:space="preserve">eDNA library expansion (→16k taxa)</t>
  </si>
  <si>
    <t xml:space="preserve">Complete the biodiversity reference asset</t>
  </si>
  <si>
    <t xml:space="preserve">+650k ha node &amp; plot crews</t>
  </si>
  <si>
    <t xml:space="preserve">Variable field cost-to-serve</t>
  </si>
  <si>
    <t xml:space="preserve">VP Sales + commercial team</t>
  </si>
  <si>
    <t xml:space="preserve">Multi-stream selling</t>
  </si>
  <si>
    <t xml:space="preserve">Commercial product / API engineering</t>
  </si>
  <si>
    <t xml:space="preserve">Customer-facing products (distinct from platform)</t>
  </si>
  <si>
    <t xml:space="preserve">Customer success + G&amp;A + COO</t>
  </si>
  <si>
    <t xml:space="preserve">Scale delivery &amp; operations</t>
  </si>
  <si>
    <t xml:space="preserve">Steady-state run-teams (no net-new COGS heads)</t>
  </si>
  <si>
    <t xml:space="preserve">Reference only — already in cost-of-serve, NOT additive</t>
  </si>
  <si>
    <t xml:space="preserve">Net-new overhead (S&amp;M / product / G&amp;A)</t>
  </si>
  <si>
    <t xml:space="preserve">Supports ramp toward 2031</t>
  </si>
  <si>
    <t xml:space="preserve">2031+</t>
  </si>
  <si>
    <t xml:space="preserve">Field teams per new jurisdiction</t>
  </si>
  <si>
    <t xml:space="preserve">Marginal cost-to-serve, scales with signed hectares</t>
  </si>
  <si>
    <t xml:space="preserve">S&amp;M / product / G&amp;A / full C-suite at scale</t>
  </si>
  <si>
    <t xml:space="preserve">Multi-jurisdiction scale to 2035</t>
  </si>
  <si>
    <t xml:space="preserve">D · NO DOUBLE-COUNTING (firewall)</t>
  </si>
  <si>
    <t xml:space="preserve">All build, field, lab, drone and platform-run teams are already inside the per-product cost-of-serve (cost-of-goods). Corporate Overhead in section B contains ONLY net-new roles that are NOT in cost-of-serve: the executive team, sales &amp; marketing / business development, G&amp;A (incl. General Counsel &amp; compliance), and the customer-facing commercial-product / API engineering built on top of the platform. The platform-engineering team (cost-of-serve) and the commercial-product team (overhead) are different teams with different deliverables — only the second is overhead. Steady-state run-cost (~$2.8M/yr) is shown for reference and is NOT added again to overhead.</t>
  </si>
  <si>
    <t xml:space="preserve">PROFIT &amp; LOSS — CeibaQ (US$)</t>
  </si>
  <si>
    <t xml:space="preserve">Live from Volumes (Assumptions) × prices/costs (CTS_by_Stream) × overhead (Roadmap). Revenue from first-sale year: IS1/IS2/IS3 2028 · IS4/IS5 2029. Two scenarios: A = with grant (base) · B = without grant.</t>
  </si>
  <si>
    <t xml:space="preserve">⚠ BASE CASE (Scenario A) ASSUMES GRANT FUNDING — the platform build (~$19.3M, 2027–2030) is non-dilutive grant-funded and is NOT an expense in the P&amp;L. Scenario B at the bottom shows the SAME business WITHOUT the grant (build self-funded → depreciation + dilutive capital), for objectivity. No grant secured yet (GATE 0).</t>
  </si>
  <si>
    <t xml:space="preserve">REVENUE</t>
  </si>
  <si>
    <t xml:space="preserve">  Jurisdictional License (IS1) — on LICENSED COVERAGE (third-party ha, ≠ our concession)</t>
  </si>
  <si>
    <t xml:space="preserve">  Enterprise Data License (IS2)</t>
  </si>
  <si>
    <t xml:space="preserve">  Monitoring-as-a-Service (IS3)</t>
  </si>
  <si>
    <t xml:space="preserve">  Outcome Verification (IS4)</t>
  </si>
  <si>
    <t xml:space="preserve">  Natural-Capital Accounting (IS5)</t>
  </si>
  <si>
    <t xml:space="preserve">Total revenue</t>
  </si>
  <si>
    <t xml:space="preserve">COST OF SERVICE</t>
  </si>
  <si>
    <t xml:space="preserve">  Variable cost-to-serve</t>
  </si>
  <si>
    <t xml:space="preserve">  Platform (ROOT) OpEx — FIXED (calibration backbone on ~1M-ha concession; does NOT scale with licensed coverage = the operating leverage)</t>
  </si>
  <si>
    <t xml:space="preserve">Total cost of service</t>
  </si>
  <si>
    <t xml:space="preserve">Gross profit</t>
  </si>
  <si>
    <t xml:space="preserve">OPERATING EXPENSES</t>
  </si>
  <si>
    <t xml:space="preserve">  Corporate overhead (see Roadmap)</t>
  </si>
  <si>
    <t xml:space="preserve">SCENARIO A — WITH GRANT (base case): platform build is non-dilutive grant → no depreciation hits the P&amp;L</t>
  </si>
  <si>
    <t xml:space="preserve">  D&amp;A — platform grant-funded (IAS-20 netted)</t>
  </si>
  <si>
    <t xml:space="preserve">EBIT — WITH grant</t>
  </si>
  <si>
    <t xml:space="preserve">FUNDING — non-dilutive GRANT required (platform build; NOT an expense above)</t>
  </si>
  <si>
    <t xml:space="preserve">  Grant tranche needed (platform CapEx)</t>
  </si>
  <si>
    <t xml:space="preserve">  Cumulative grant drawn</t>
  </si>
  <si>
    <t xml:space="preserve">  TOTAL platform build (funding mix: grant $13.5M + DFI debt $3M + equity $2.82M = $19.3M)</t>
  </si>
  <si>
    <t xml:space="preserve">← over 2027–2030; the $3.15M/yr platform OpEx is already in Cost of Service above</t>
  </si>
  <si>
    <t xml:space="preserve">SCENARIO B — WITHOUT GRANT: the $19.3M build is self-funded → it becomes depreciation + dilutive capital (equity or debt)</t>
  </si>
  <si>
    <t xml:space="preserve">  EBITDA (same as base)</t>
  </si>
  <si>
    <t xml:space="preserve">  Less: platform-build depreciation (8-yr straight-line)</t>
  </si>
  <si>
    <t xml:space="preserve">EBIT — WITHOUT grant</t>
  </si>
  <si>
    <t xml:space="preserve">  Δ vs base EBIT (cost of no grant)</t>
  </si>
  <si>
    <t xml:space="preserve">  Extra capital to raise (equity/debt) if no grant</t>
  </si>
  <si>
    <t xml:space="preserve">⚠ Objective read: without the grant the business is STILL profitable (EBIT positive from 2029), but (1) EBIT is ~$2.4M/yr lower from build depreciation, and (2) the same $19.3M must be raised as EQUITY (dilution) or DEBT (~$1.5M/yr interest @8%, declining) instead of a non-dilutive grant. The grant does not change operations — it changes WHO pays for the platform and how much dilution. All figures management-estimate until first signed contract (GATE 0).</t>
  </si>
  <si>
    <t xml:space="preserve">CASH-FLOW — CeibaQ Group (US$) · indirect, after-tax</t>
  </si>
  <si>
    <t xml:space="preserve">Indirect method: Net income (after 5% Amazon tax) + D&amp;A − change in working capital → operating cash; + investing + financing + concession (via SPV). Closing cash ties to the Balance Sheet (check below). Red = negative (cash out).</t>
  </si>
  <si>
    <t xml:space="preserve">A · OPERATING (indirect, after-tax)</t>
  </si>
  <si>
    <t xml:space="preserve">  Net income (EBITDA − D&amp;A − tax 5%)</t>
  </si>
  <si>
    <t xml:space="preserve">  + Depreciation &amp; amortisation</t>
  </si>
  <si>
    <t xml:space="preserve">  − Δ Accounts receivable</t>
  </si>
  <si>
    <t xml:space="preserve">  + Δ Deferred revenue</t>
  </si>
  <si>
    <t xml:space="preserve">  + Δ Accounts payable</t>
  </si>
  <si>
    <t xml:space="preserve">  + Δ Income tax payable</t>
  </si>
  <si>
    <t xml:space="preserve">  = Operating cash flow</t>
  </si>
  <si>
    <t xml:space="preserve">B · INVESTING</t>
  </si>
  <si>
    <t xml:space="preserve">  − Platform CapEx (build, grant-funded)</t>
  </si>
  <si>
    <t xml:space="preserve">  = Investing cash flow</t>
  </si>
  <si>
    <t xml:space="preserve">C · FINANCING</t>
  </si>
  <si>
    <t xml:space="preserve">  + Platform funding (Scen.A: grant $13.5M + DFI debt $3M + equity $2.82M = $19.3M; Scen.B: debt)</t>
  </si>
  <si>
    <t xml:space="preserve">  + Equity raised (pre-seed + seed)</t>
  </si>
  <si>
    <t xml:space="preserve">  ± Founder loan (Δ; repaid from raise)</t>
  </si>
  <si>
    <t xml:space="preserve">  = Financing cash flow</t>
  </si>
  <si>
    <t xml:space="preserve">D · CONCESSION CARBON (via SPV — consolidated, to group)</t>
  </si>
  <si>
    <t xml:space="preserve">  Concession carbon cash (⚠ PLACEHOLDER — ratify; OFF the data P&amp;L)</t>
  </si>
  <si>
    <t xml:space="preserve">    Net 40% (after 60% community+upkeep) · placeholder, ratify · 70% AWAKEN AI / 30% NCI in equity</t>
  </si>
  <si>
    <t xml:space="preserve">NET CHANGE IN CASH</t>
  </si>
  <si>
    <t xml:space="preserve">CUMULATIVE CASH (closing)</t>
  </si>
  <si>
    <t xml:space="preserve">MEMO — Data-only cumulative cash (excl. concession placeholder)</t>
  </si>
  <si>
    <t xml:space="preserve">Reconciliation — Cumulative cash = Balance Sheet cash?</t>
  </si>
  <si>
    <t xml:space="preserve">  Δ (CF cumulative − BS cash)</t>
  </si>
  <si>
    <t xml:space="preserve">Now fully tied to the 3-statement: after-tax net income, working-capital changes (AR/AP/deferred/tax), grant funds CapEx (net 0), concession consolidated. Δ to Balance Sheet cash should be 0.</t>
  </si>
  <si>
    <t xml:space="preserve">BALANCE SHEET — CONSOLIDATED (AWAKEN AI + 70% AWAKEN Management, US$)</t>
  </si>
  <si>
    <t xml:space="preserve">Consolidated: AWAKEN AI + its 70%-owned concession (AWAKEN Management), with 30% non-controlling interest (NCI). ROOT platform OFF-BS (held by TERI, used under licence). Concession carbon (via SPV) is now consolidated into cash &amp; equity — split 70% (retained) / 30% (NCI). Balances every year (check=0).</t>
  </si>
  <si>
    <t xml:space="preserve">INPUTS (flex):</t>
  </si>
  <si>
    <t xml:space="preserve">Tax rate — Amazon (Ley 27037, Loreto)</t>
  </si>
  <si>
    <t xml:space="preserve">Blended AR days (DSO)</t>
  </si>
  <si>
    <t xml:space="preserve">Deferred-revenue fraction of IS2</t>
  </si>
  <si>
    <t xml:space="preserve">ASSETS</t>
  </si>
  <si>
    <t xml:space="preserve">  Cash &amp; equivalents (group, incl. concession)</t>
  </si>
  <si>
    <t xml:space="preserve">  Accounts receivable</t>
  </si>
  <si>
    <t xml:space="preserve">  Intangibles — USPTO patent (net)</t>
  </si>
  <si>
    <t xml:space="preserve">Total assets</t>
  </si>
  <si>
    <t xml:space="preserve">LIABILITIES</t>
  </si>
  <si>
    <t xml:space="preserve">  Deferred revenue (prepayments)</t>
  </si>
  <si>
    <t xml:space="preserve">  Founder loan (F&amp;F — repaid from raise)</t>
  </si>
  <si>
    <t xml:space="preserve">  Income tax payable</t>
  </si>
  <si>
    <t xml:space="preserve">  Accounts payable</t>
  </si>
  <si>
    <t xml:space="preserve">Total liabilities</t>
  </si>
  <si>
    <t xml:space="preserve">EQUITY</t>
  </si>
  <si>
    <t xml:space="preserve">  Paid-in capital (pre-seed + seed)</t>
  </si>
  <si>
    <t xml:space="preserve">  Retained earnings (data business)</t>
  </si>
  <si>
    <t xml:space="preserve">  Concession — AWAKEN AI 70% share</t>
  </si>
  <si>
    <t xml:space="preserve">  Non-controlling interest (NCI, 30%)</t>
  </si>
  <si>
    <t xml:space="preserve">Total equity</t>
  </si>
  <si>
    <t xml:space="preserve">BALANCE CHECK (Assets − Liab − Equity = 0)</t>
  </si>
  <si>
    <t xml:space="preserve">MEMO — cash reconciliation</t>
  </si>
  <si>
    <t xml:space="preserve">  This BS cash (consolidated)</t>
  </si>
  <si>
    <t xml:space="preserve">  Group cash-flow cumulative (Cash-Flow)</t>
  </si>
  <si>
    <t xml:space="preserve">  Difference (WC + tax timing)</t>
  </si>
  <si>
    <t xml:space="preserve">Consolidation: the 70%-owned concession is fully on the balance sheet — its carbon cash is in Cash, its earnings split 70% (Retained) / 30% (NCI). ROOT off-BS (TERI). Paid-in assumes pre-seed+seed (~$3.6M) fund the 2027 build. Cash = balancing figure; it now ≈ group cash-flow (residual = working-capital + tax timing).</t>
  </si>
  <si>
    <t xml:space="preserve">NO-GRANT SCENARIO — Balance Sheet additions  (illustrative · HARD-CODED · NOT linked to the live model)</t>
  </si>
  <si>
    <t xml:space="preserve">Platform (ROOT) PP&amp;E — gross</t>
  </si>
  <si>
    <t xml:space="preserve">$19,319,500</t>
  </si>
  <si>
    <t xml:space="preserve">capitalised instead of grant-funded</t>
  </si>
  <si>
    <t xml:space="preserve">Less: accumulated depreciation (8-yr SL, 2028–2035)</t>
  </si>
  <si>
    <t xml:space="preserve">up to −$19,319,500</t>
  </si>
  <si>
    <t xml:space="preserve">flows through P&amp;L Scenario B (~$2.4M/yr)</t>
  </si>
  <si>
    <t xml:space="preserve">Net platform asset (book)</t>
  </si>
  <si>
    <t xml:space="preserve">$19.3M → $0 by 2035</t>
  </si>
  <si>
    <t xml:space="preserve">declining book value</t>
  </si>
  <si>
    <t xml:space="preserve">Funded by: ROOT equity round + concessional debt</t>
  </si>
  <si>
    <t xml:space="preserve">≈ $15.6M equity + ~$3.7M</t>
  </si>
  <si>
    <t xml:space="preserve">on the Liabilities / Equity side</t>
  </si>
  <si>
    <t xml:space="preserve">Founders diluted</t>
  </si>
  <si>
    <t xml:space="preserve">~49% (vs 72% base)</t>
  </si>
  <si>
    <t xml:space="preserve">the price of no grant</t>
  </si>
  <si>
    <t xml:space="preserve">Base case (for contrast)</t>
  </si>
  <si>
    <t xml:space="preserve">platform OFF-BS (TERI grant)</t>
  </si>
  <si>
    <t xml:space="preserve">this block shows what changes WITHOUT the grant</t>
  </si>
  <si>
    <t xml:space="preserve">VALUATION — CeibaQ</t>
  </si>
  <si>
    <t xml:space="preserve">Three lenses on value (today SAFE-cap ≠ DCF-on-FCF intrinsic ≠ 2035 exit). DCF now discounts unlevered FCF (after-tax + ΔWC), not EBITDA.</t>
  </si>
  <si>
    <t xml:space="preserve">A · KEY INPUTS (flex these)</t>
  </si>
  <si>
    <t xml:space="preserve">Discount rate — venture (base)</t>
  </si>
  <si>
    <t xml:space="preserve">Exit EBITDA multiple (base)</t>
  </si>
  <si>
    <t xml:space="preserve">Exit multiple — 2035 endpoint</t>
  </si>
  <si>
    <t xml:space="preserve">Concession discount rate</t>
  </si>
  <si>
    <t xml:space="preserve">Concession terminal multiple</t>
  </si>
  <si>
    <t xml:space="preserve">B · DCF — DATA COMPANY (equity story)</t>
  </si>
  <si>
    <t xml:space="preserve">  Unlevered FCF — after-tax + ΔWC (= Operating CF, data co.)</t>
  </si>
  <si>
    <t xml:space="preserve">DCF INTRINSIC VALUE — on unlevered FCF (if plan executes — NOT today)</t>
  </si>
  <si>
    <t xml:space="preserve">↳ PV of 9-yr projected EBITDA + terminal, @ venture rate. An IF-IT-WORKS number, not a market valuation. Today = the pre-seed (see Section F).</t>
  </si>
  <si>
    <t xml:space="preserve">C · SENSITIVITY — discount rate (rows) × exit multiple (cols)</t>
  </si>
  <si>
    <t xml:space="preserve">disc \ mult</t>
  </si>
  <si>
    <t xml:space="preserve">Conservative band = high venture discount × FCF stream; exit on EBITDA multiple. FCF &lt; EBITDA (tax + working-capital drag) → lower, DD-defensible than raw-EBITDA DCF.</t>
  </si>
  <si>
    <t xml:space="preserve">D · SUM-OF-PARTS</t>
  </si>
  <si>
    <t xml:space="preserve">  Data company (DCF base — the equity story)</t>
  </si>
  <si>
    <t xml:space="preserve">  + Concession carbon SPV (separate; OFF the equity multiple)</t>
  </si>
  <si>
    <t xml:space="preserve">  = GROUP value (data + concession)</t>
  </si>
  <si>
    <t xml:space="preserve">Equity raise is priced on the DATA company only (pure-data multiple). Concession SPV is additional, non-dilutive value valued at a conservative credit multiple.</t>
  </si>
  <si>
    <t xml:space="preserve">E · 2035 ENDPOINT RECONCILIATION (the unicorn story)</t>
  </si>
  <si>
    <t xml:space="preserve">  2035 EBITDA</t>
  </si>
  <si>
    <t xml:space="preserve">  × exit multiple (2035)</t>
  </si>
  <si>
    <t xml:space="preserve">  = 2035 NOMINAL equity value (unicorn endpoint)</t>
  </si>
  <si>
    <t xml:space="preserve">  Present value TODAY of that endpoint (at base venture rate)</t>
  </si>
  <si>
    <t xml:space="preserve">⤷ Read: $1B is the 2035 EXIT value. Today's risk-adjusted PV is the DCF above ($67–91M). The difference is the venture discount for execution + gate risk (first signed contract, field pilot, grant). As those gates close, the discount rate falls and the valuation rises toward the endpoint. Equity story stays pure-data; concession is upside. EBITDA used as a free-cash proxy (pre-tax, pre-working-capital).</t>
  </si>
  <si>
    <t xml:space="preserve">F · WHAT IS CEIBAQ WORTH? — THREE LENSES (today ≠ intrinsic ≠ exit)</t>
  </si>
  <si>
    <t xml:space="preserve">① SAFE CAP (ceiling — NOT today's fair value; fair ≈ $3.5–4M per SC-008)</t>
  </si>
  <si>
    <t xml:space="preserve">THE actual value today: $600k SAFE @ $4.5M post-money. This — not the DCF — is what the company is worth today.</t>
  </si>
  <si>
    <t xml:space="preserve">② VC-method — return-implied entry</t>
  </si>
  <si>
    <t xml:space="preserve">↳ 2035 exit value ÷ the return a venture investor needs (a ceiling for the entry price, given the exit):</t>
  </si>
  <si>
    <t xml:space="preserve">     at 30× target return</t>
  </si>
  <si>
    <t xml:space="preserve">entry that returns 30× on the $1.0B exit</t>
  </si>
  <si>
    <t xml:space="preserve">     at 50× target return</t>
  </si>
  <si>
    <t xml:space="preserve">entry that returns 50× on the $1.0B exit</t>
  </si>
  <si>
    <t xml:space="preserve">     at 100× target return</t>
  </si>
  <si>
    <t xml:space="preserve">entry that returns 100× on the $1.0B exit</t>
  </si>
  <si>
    <t xml:space="preserve">③ DCF intrinsic (if plan executes)</t>
  </si>
  <si>
    <t xml:space="preserve">PV of projected cash flows @38% — analytical upside, NOT a market price.</t>
  </si>
  <si>
    <t xml:space="preserve">④ 2035 exit target (endpoint)</t>
  </si>
  <si>
    <t xml:space="preserve">Nominal equity value at exit (2035 EBITDA × 13×).</t>
  </si>
  <si>
    <t xml:space="preserve">Read: ① $4.5M is the pre-seed SAFE CAP (a ceiling / best-case conversion), NOT what CeibaQ is worth today (fair ≈ $3.5–4M, SC-008). ② VC-method = return-implied entry. ③ DCF-on-FCF intrinsic if the plan executes. ④ 2035 exit endpoint. They do NOT collapse into one number.</t>
  </si>
  <si>
    <t xml:space="preserve">FUNDING &amp; CAP TABLE — AWAKEN AI (OpCo)</t>
  </si>
  <si>
    <t xml:space="preserve">Entity: AWAKEN AI owns 70% AWAKEN Management (concession); TERI holds ROOT (grant) used by AWAKEN AI under licence. Minimise dilution: pre-seed de-risks → seed prices UP → small seed (build IS1) → Series A optional. Inputs (blue) are flex.</t>
  </si>
  <si>
    <t xml:space="preserve">A · ROUND INPUTS (flex the blue cells)</t>
  </si>
  <si>
    <t xml:space="preserve">A2 · FIRST-INVESTOR (ANCHOR) OFFER — the first fund in</t>
  </si>
  <si>
    <t xml:space="preserve">Founders + team start %</t>
  </si>
  <si>
    <t xml:space="preserve">Anchor tranche (first money)</t>
  </si>
  <si>
    <t xml:space="preserve">Pre-seed — ANCHOR (first money)</t>
  </si>
  <si>
    <t xml:space="preserve">+ REST of pre-seed</t>
  </si>
  <si>
    <t xml:space="preserve">Bonus (lower) cap</t>
  </si>
  <si>
    <t xml:space="preserve">Pre-seed — ANCHOR bonus cap</t>
  </si>
  <si>
    <t xml:space="preserve">REST cap (standard)</t>
  </si>
  <si>
    <t xml:space="preserve">Anchor ownership @ bonus cap</t>
  </si>
  <si>
    <t xml:space="preserve">Seed amount (≈ cost to build IS1)</t>
  </si>
  <si>
    <t xml:space="preserve">Note conversion disc (at seed)</t>
  </si>
  <si>
    <t xml:space="preserve">  vs same $ @ standard cap</t>
  </si>
  <si>
    <t xml:space="preserve">Seed PRE-money (post-GATE 0 step-up)</t>
  </si>
  <si>
    <t xml:space="preserve">  → anchor gets EXTRA equity</t>
  </si>
  <si>
    <t xml:space="preserve">Series A amount (OPTIONAL — 0 = skip)</t>
  </si>
  <si>
    <t xml:space="preserve">The other $450k = CONVERTIBLE DEBT (exclusive: anchor gets equity)</t>
  </si>
  <si>
    <t xml:space="preserve">Series A PRE-money</t>
  </si>
  <si>
    <t xml:space="preserve">  dilution if it were equity</t>
  </si>
  <si>
    <t xml:space="preserve">Pre-seed equity dilution (anchor only — $450k = convertible debt)</t>
  </si>
  <si>
    <t xml:space="preserve">  dilution as debt (converts at seed −20%)</t>
  </si>
  <si>
    <t xml:space="preserve">B · CAP TABLE — ownership after each round (live)</t>
  </si>
  <si>
    <t xml:space="preserve">  → founders keep extra equity</t>
  </si>
  <si>
    <t xml:space="preserve">Holder</t>
  </si>
  <si>
    <t xml:space="preserve">After pre-seed</t>
  </si>
  <si>
    <t xml:space="preserve">After seed</t>
  </si>
  <si>
    <t xml:space="preserve">After Series A</t>
  </si>
  <si>
    <t xml:space="preserve">Founders + team + ESOP (pre-investor — each dilutes pro-rata, per-person →)</t>
  </si>
  <si>
    <t xml:space="preserve">Pre-seed (anchor SAFE + $450k note converts at seed)</t>
  </si>
  <si>
    <t xml:space="preserve">A3 · ANCHOR PRIVILEGES (all approved)</t>
  </si>
  <si>
    <t xml:space="preserve">Seed</t>
  </si>
  <si>
    <t xml:space="preserve">① Bonus valuation cap</t>
  </si>
  <si>
    <t xml:space="preserve">✓</t>
  </si>
  <si>
    <t xml:space="preserve">Series A</t>
  </si>
  <si>
    <t xml:space="preserve">② Equity (others take debt) — exclusive</t>
  </si>
  <si>
    <t xml:space="preserve">TOTAL (check =100%)</t>
  </si>
  <si>
    <t xml:space="preserve">③ Pro-rata rights</t>
  </si>
  <si>
    <t xml:space="preserve">→ $450k taken as CONVERTIBLE DEBT (not equity): only the $150k anchor dilutes at pre-seed (4.3%); the $450k converts at seed (−20%). Founders-block keeps ~77% (vs ~71% if all-equity). Per-person → right.</t>
  </si>
  <si>
    <t xml:space="preserve">④ Board observer seat</t>
  </si>
  <si>
    <t xml:space="preserve">⑤ "Founding Backer" status</t>
  </si>
  <si>
    <t xml:space="preserve">C · USE OF FUNDS — pre-seed $600k → fast de-risk sprint (~8 months · Σ = $600k)</t>
  </si>
  <si>
    <t xml:space="preserve">⑥ MFN (auto best terms)</t>
  </si>
  <si>
    <t xml:space="preserve">1 · ROOT MVP pilot — 50 nodes + 1 drone campaign + eDNA (3-mo field → live data)</t>
  </si>
  <si>
    <t xml:space="preserve">GATE-0 product proof</t>
  </si>
  <si>
    <t xml:space="preserve">⑦ First-look / ROFR on seed</t>
  </si>
  <si>
    <t xml:space="preserve">2 · First paying customer + 2–3 paid LOI (data-before-credits)</t>
  </si>
  <si>
    <t xml:space="preserve">pre-revenue → proven revenue = biggest re-rate</t>
  </si>
  <si>
    <t xml:space="preserve">— Information rights</t>
  </si>
  <si>
    <t xml:space="preserve">all</t>
  </si>
  <si>
    <t xml:space="preserve">3 · Frontend prototype / investor demo (how the data displays)</t>
  </si>
  <si>
    <t xml:space="preserve">seed-ready demo</t>
  </si>
  <si>
    <t xml:space="preserve">4 · Legal: data-firewall entity + Founder-Loan agreement + FPIC start</t>
  </si>
  <si>
    <t xml:space="preserve">conflict-free; unlocks catalytic capital</t>
  </si>
  <si>
    <t xml:space="preserve">5 · Grant applications (GCF / PROFONANPE / IDB via TERI) + Art 6.2</t>
  </si>
  <si>
    <t xml:space="preserve">secures the non-dilutive backbone</t>
  </si>
  <si>
    <t xml:space="preserve">FORMATION CAP TABLE (real, per-person · ALL dilute pro-rata)</t>
  </si>
  <si>
    <t xml:space="preserve">6 · Core team (CEO + tech lead + BD) + buffer, ~8-mo sprint</t>
  </si>
  <si>
    <t xml:space="preserve">NVIDIA/AWS credits offset compute</t>
  </si>
  <si>
    <t xml:space="preserve">Role</t>
  </si>
  <si>
    <t xml:space="preserve">% formation</t>
  </si>
  <si>
    <t xml:space="preserve">% after pre-seed</t>
  </si>
  <si>
    <t xml:space="preserve">% post-seed</t>
  </si>
  <si>
    <t xml:space="preserve">D · TWO FUNDING SCENARIOS (everyone will ask about no-grant)</t>
  </si>
  <si>
    <t xml:space="preserve">Olha Sytnyk</t>
  </si>
  <si>
    <t xml:space="preserve">Founder &amp; CEO</t>
  </si>
  <si>
    <t xml:space="preserve">Scenario</t>
  </si>
  <si>
    <t xml:space="preserve">Platform $19.3M funded by</t>
  </si>
  <si>
    <t xml:space="preserve">Equity need</t>
  </si>
  <si>
    <t xml:space="preserve">Dilution</t>
  </si>
  <si>
    <t xml:space="preserve">Founder control</t>
  </si>
  <si>
    <t xml:space="preserve">Luis Silva</t>
  </si>
  <si>
    <t xml:space="preserve">CFO ✅ signed</t>
  </si>
  <si>
    <t xml:space="preserve">A · WITH grant (base)</t>
  </si>
  <si>
    <t xml:space="preserve">Non-dilutive grant via TERI</t>
  </si>
  <si>
    <t xml:space="preserve">~$3.6M (pre-seed+small seed bridge 2027)</t>
  </si>
  <si>
    <t xml:space="preserve">LOW (~28%)</t>
  </si>
  <si>
    <t xml:space="preserve">Founders ~72% ✅</t>
  </si>
  <si>
    <t xml:space="preserve">Evgen Dykyi</t>
  </si>
  <si>
    <t xml:space="preserve">CSO (agreed)</t>
  </si>
  <si>
    <t xml:space="preserve">B · WITHOUT grant</t>
  </si>
  <si>
    <t xml:space="preserve">Concessional DEBT (MDB, vs contracted rev) — NOT equity</t>
  </si>
  <si>
    <t xml:space="preserve">same equity + debt service</t>
  </si>
  <si>
    <t xml:space="preserve">LOW-MED (debt, not dilution)</t>
  </si>
  <si>
    <t xml:space="preserve">Founders ~70% (debt preserves control)</t>
  </si>
  <si>
    <t xml:space="preserve">Olena Koval</t>
  </si>
  <si>
    <t xml:space="preserve">Chief of PR (agreed)</t>
  </si>
  <si>
    <t xml:space="preserve">C · No grant, no debt</t>
  </si>
  <si>
    <t xml:space="preserve">Equity funds the $19.3M build</t>
  </si>
  <si>
    <t xml:space="preserve">~$20M+ extra equity</t>
  </si>
  <si>
    <t xml:space="preserve">Mariam Mamedli</t>
  </si>
  <si>
    <t xml:space="preserve">CPO (agreed)</t>
  </si>
  <si>
    <t xml:space="preserve">ESOP / reserved pool</t>
  </si>
  <si>
    <t xml:space="preserve">CTO 5·COO 2.5·Legal 1·Adv 3 — for hires</t>
  </si>
  <si>
    <t xml:space="preserve">→ The grant via TERI is the dilution-saver. Fallback if no grant = concessional DEBT (preserves control), NOT a bigger equity round. Never fund the platform with equity if avoidable.</t>
  </si>
  <si>
    <t xml:space="preserve">E · NO-GRANT PATH — seed funds the FULL 2027 plan (gate to IS1), then ROOT via equity</t>
  </si>
  <si>
    <t xml:space="preserve">2027 plan cost — what the no-grant seed must cover:</t>
  </si>
  <si>
    <t xml:space="preserve">  Platform / build CapEx 2027</t>
  </si>
  <si>
    <t xml:space="preserve">fusion platform + 50% libraries + nodes + drone fleet + eDNA lab + tower-prep</t>
  </si>
  <si>
    <t xml:space="preserve">  OpCo overhead 2027</t>
  </si>
  <si>
    <t xml:space="preserve">team / S&amp;M / G&amp;A / R&amp;I</t>
  </si>
  <si>
    <t xml:space="preserve">  Platform OpEx 2027</t>
  </si>
  <si>
    <t xml:space="preserve">run-cost</t>
  </si>
  <si>
    <t xml:space="preserve">  = Total 2027 plan</t>
  </si>
  <si>
    <t xml:space="preserve">  − pre-seed already raised</t>
  </si>
  <si>
    <t xml:space="preserve">from the SAFE</t>
  </si>
  <si>
    <t xml:space="preserve">  = SEED NEEDED (no-grant)</t>
  </si>
  <si>
    <t xml:space="preserve">≈ this is the seed if there is no grant</t>
  </si>
  <si>
    <t xml:space="preserve">Then ROOT (towers + full platform, 2028–30) via an EQUITY round — at a HIGHER post-IS1 valuation:</t>
  </si>
  <si>
    <t xml:space="preserve">  ROOT equity round amount</t>
  </si>
  <si>
    <t xml:space="preserve">remaining platform build 2028-30</t>
  </si>
  <si>
    <t xml:space="preserve">  ROOT round PRE-money (post-IS1, 2028)</t>
  </si>
  <si>
    <t xml:space="preserve">No-grant cap table (live) — bigger seed + ROOT equity round</t>
  </si>
  <si>
    <t xml:space="preserve">Ownership</t>
  </si>
  <si>
    <t xml:space="preserve">Founders + team</t>
  </si>
  <si>
    <t xml:space="preserve">Pre-seed (SAFE)</t>
  </si>
  <si>
    <t xml:space="preserve">Seed (no-grant)</t>
  </si>
  <si>
    <t xml:space="preserve">ROOT equity round</t>
  </si>
  <si>
    <t xml:space="preserve">→ Founders ~49% (no-grant) vs ~72% (grant). The ~23-point gap = the price of not securing the grant. Smart-sequence: build IS1 first on the seed, get revenue, THEN raise the big ROOT money at a much higher post-IS1 valuation (not upfront at a low one).</t>
  </si>
  <si>
    <t xml:space="preserve">PRE-PRE-SEED — Friends &amp; Family (already deployed · identical in BOTH grant / no-grant scenarios)</t>
  </si>
  <si>
    <t xml:space="preserve">Total project formation value</t>
  </si>
  <si>
    <t xml:space="preserve">22 months execution (Aug 2024 – May 2026)</t>
  </si>
  <si>
    <t xml:space="preserve">  Founder cash — a LOAN (repaid from raise)</t>
  </si>
  <si>
    <t xml:space="preserve">liability on Balance Sheet; repaid in 2028 (both scenarios)</t>
  </si>
  <si>
    <t xml:space="preserve">  Sweat-equity / advisors (non-cash FMV)</t>
  </si>
  <si>
    <t xml:space="preserve">team + advisors’ pro-bono time — NOT cash, not in pre-money</t>
  </si>
  <si>
    <t xml:space="preserve">Detailed record</t>
  </si>
  <si>
    <t xml:space="preserve">SEPARATE file: AWAKEN_Capital_Deployed_FF_Round_2026-05-26.xlsx (source of record)</t>
  </si>
  <si>
    <t xml:space="preserve">INVESTOR RETURNS — MOIC / IRR per round</t>
  </si>
  <si>
    <t xml:space="preserve">What each round earns at exit. Entry valuations from the cap table; ownership haircut approximates later Series A/B/C dilution. Exit values (blue) are flex.</t>
  </si>
  <si>
    <t xml:space="preserve">Base exit — equity value</t>
  </si>
  <si>
    <t xml:space="preserve">Stretch exit — equity value</t>
  </si>
  <si>
    <t xml:space="preserve">Future-dilution haircut (Series A/B/C)</t>
  </si>
  <si>
    <t xml:space="preserve">Exit year</t>
  </si>
  <si>
    <t xml:space="preserve">Round</t>
  </si>
  <si>
    <t xml:space="preserve">Invested</t>
  </si>
  <si>
    <t xml:space="preserve">Entry val.</t>
  </si>
  <si>
    <t xml:space="preserve">Cap-table %</t>
  </si>
  <si>
    <t xml:space="preserve">% at exit</t>
  </si>
  <si>
    <t xml:space="preserve">Base value</t>
  </si>
  <si>
    <t xml:space="preserve">MOIC</t>
  </si>
  <si>
    <t xml:space="preserve">IRR</t>
  </si>
  <si>
    <t xml:space="preserve">Stretch value</t>
  </si>
  <si>
    <t xml:space="preserve">Pre-seed anchor (SAFE)</t>
  </si>
  <si>
    <t xml:space="preserve">Series A (if raised)</t>
  </si>
  <si>
    <t xml:space="preserve">Read: the pre-seed enters earliest &amp; cheapest → the highest multiple of any equity in the plan. MOIC = (% at exit × exit value) ÷ invested; IRR annualises it to the exit year. The haircut (default 35%) approximates dilution from future Series A/B/C not yet in the cap table — set it to 0% to see returns at today's cap table. Series A row is blank until a Series A amount is entered on Funding.</t>
  </si>
  <si>
    <t xml:space="preserve">MONTHLY RUNWAY &amp; PRE-SEED PLAN — $600k over 8 months (US$)</t>
  </si>
  <si>
    <t xml:space="preserve">What the $600k pre-seed buys, phased month-by-month over an 8-month sprint, with the runway and the first-investor (anchor) offer. Blue cells flex.</t>
  </si>
  <si>
    <t xml:space="preserve">Pre-seed raised</t>
  </si>
  <si>
    <t xml:space="preserve">⬆ WHAT $600k BUYS — a VALUATION STEP-UP, not burn</t>
  </si>
  <si>
    <t xml:space="preserve">Seed amount</t>
  </si>
  <si>
    <t xml:space="preserve">Not operating burn — de-risk capital that RE-RATES the company. Unlocks: first paying customer + LOI (GATE 0) · live MVP data · grant LOI · legal firewall · concession formalized.</t>
  </si>
  <si>
    <t xml:space="preserve">Seed closes in month #</t>
  </si>
  <si>
    <t xml:space="preserve">USE OF FUNDS — $600k phased over 8 months (edit month cells)</t>
  </si>
  <si>
    <t xml:space="preserve">Item</t>
  </si>
  <si>
    <t xml:space="preserve">Total $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</si>
  <si>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</si>
  <si>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</si>
  <si>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</si>
  <si>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</si>
  <si>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</si>
  <si>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</si>
  <si>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</si>
  <si>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</si>
  <si>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Σ chk</t>
  </si>
  <si>
    <t xml:space="preserve">1 · ROOT MVP pilot (50 nodes+drone+eDNA)</t>
  </si>
  <si>
    <t xml:space="preserve">2 · First paying customer + 2–3 LOI</t>
  </si>
  <si>
    <t xml:space="preserve">3 · Frontend prototype / investor demo</t>
  </si>
  <si>
    <t xml:space="preserve">4 · Legal: firewall + Founder-Loan + FPIC</t>
  </si>
  <si>
    <t xml:space="preserve">5 · Grant applications + Art 6.2</t>
  </si>
  <si>
    <t xml:space="preserve">6 · Core team (CEO·CFO·CSO·PR·tech·BD) + buffer</t>
  </si>
  <si>
    <t xml:space="preserve">MONTHLY BURN (Σ)</t>
  </si>
  <si>
    <t xml:space="preserve">Cumulative spend</t>
  </si>
  <si>
    <t xml:space="preserve">Opening cash</t>
  </si>
  <si>
    <t xml:space="preserve">Closing cash (after burn + seed)</t>
  </si>
  <si>
    <t xml:space="preserve">→ Runway = 8 months · seed MUST close by month 8 (cash near zero by then — no slack).</t>
  </si>
  <si>
    <t xml:space="preserve">↳ First-investor (anchor) offer + privileges → moved to the Funding sheet (where the investment is described).</t>
  </si>
  <si>
    <t xml:space="preserve">DETAILED BUDGET — line-item breakdown of each $600k category (pre-seed, pre-2027)</t>
  </si>
  <si>
    <t xml:space="preserve">Field crew (cat 1) = 3-month pilot team on-site; Core team (cat 6) = ongoing 8-month company team. CFO/CSO/PR take a small cash stipend; the rest of their market salary accrues as DEBT (founder-loan style, repaid from the raise).</t>
  </si>
  <si>
    <t xml:space="preserve">1 · ROOT MVP PILOT</t>
  </si>
  <si>
    <t xml:space="preserve">— FIELD CREW (3 months living on-site) —</t>
  </si>
  <si>
    <t xml:space="preserve">Field / deployment engineer (3 mo)</t>
  </si>
  <si>
    <t xml:space="preserve">Data analyst — field (3 mo)</t>
  </si>
  <si>
    <t xml:space="preserve">Field biologist / technician — eDNA + install (3 mo)</t>
  </si>
  <si>
    <t xml:space="preserve">2nd field technician — 50-node network (3 mo)</t>
  </si>
  <si>
    <t xml:space="preserve">2× local guides / community liaison (3 mo)</t>
  </si>
  <si>
    <t xml:space="preserve">Field coordinator (3 mo)</t>
  </si>
  <si>
    <t xml:space="preserve">— LIVING &amp; LOGISTICS (3 months, remote Amazon) —</t>
  </si>
  <si>
    <t xml:space="preserve">Accommodation / field-station upkeep</t>
  </si>
  <si>
    <t xml:space="preserve">Food &amp; provisions</t>
  </si>
  <si>
    <t xml:space="preserve">Boat charters + fuel (Iquitos↔site + in-field)</t>
  </si>
  <si>
    <t xml:space="preserve">Starlink connectivity</t>
  </si>
  <si>
    <t xml:space="preserve">Safety, insurance, medical</t>
  </si>
  <si>
    <t xml:space="preserve">Mobilization (team + gear to site)</t>
  </si>
  <si>
    <t xml:space="preserve">— HARDWARE &amp; CAMPAIGNS —</t>
  </si>
  <si>
    <t xml:space="preserve">50× ECHO mini-nodes (installed ~$65 ea)</t>
  </si>
  <si>
    <t xml:space="preserve">4× NEXUS-Hub concentrators (edge-AI)</t>
  </si>
  <si>
    <t xml:space="preserve">Spares + install consumables</t>
  </si>
  <si>
    <t xml:space="preserve">SKYETON drone campaign (1 deployment)</t>
  </si>
  <si>
    <t xml:space="preserve">eDNA round (80 samples × $200)</t>
  </si>
  <si>
    <t xml:space="preserve">Contingency ~12% (flex: drone scope / eDNA count / nodes)</t>
  </si>
  <si>
    <t xml:space="preserve">Subtotal (check vs $170,000)</t>
  </si>
  <si>
    <t xml:space="preserve">2 · FIRST CUSTOMER + LOI (+ conferences — Olha)</t>
  </si>
  <si>
    <t xml:space="preserve">Conf registrations: NatCap Americas $1.5k · CW NYC $0.6k · Prestel $3k · COP31 $0.2k</t>
  </si>
  <si>
    <t xml:space="preserve">Conf travel + accommodation (NYC Sept · Prestel Oct · COP31 Antalya Nov)</t>
  </si>
  <si>
    <t xml:space="preserve">First paying customer — pilot delivery &amp; contracting</t>
  </si>
  <si>
    <t xml:space="preserve">Seed-investor outreach (data-room polish · CRM · design · materials)</t>
  </si>
  <si>
    <t xml:space="preserve">LOI development + regional travel (Iquitos/Lima/partners)</t>
  </si>
  <si>
    <t xml:space="preserve">Contingency</t>
  </si>
  <si>
    <t xml:space="preserve">Subtotal (check vs $90,000)</t>
  </si>
  <si>
    <t xml:space="preserve">3 · FRONTEND PROTOTYPE / DEMO</t>
  </si>
  <si>
    <t xml:space="preserve">Frontend developer (contract, 4 mo)</t>
  </si>
  <si>
    <t xml:space="preserve">UI/UX + data-viz design</t>
  </si>
  <si>
    <t xml:space="preserve">Dashboard / live-data integration build</t>
  </si>
  <si>
    <t xml:space="preserve">Hosting / infra / tooling</t>
  </si>
  <si>
    <t xml:space="preserve">Subtotal (check vs $70,000)</t>
  </si>
  <si>
    <t xml:space="preserve">4 · LEGAL (all formalisation)</t>
  </si>
  <si>
    <t xml:space="preserve">Concession legal formalization (finalize 90k-ha title/permits)</t>
  </si>
  <si>
    <t xml:space="preserve">Data-firewall / neutral verification entity</t>
  </si>
  <si>
    <t xml:space="preserve">Founder-loan agreement ($149.9k)</t>
  </si>
  <si>
    <t xml:space="preserve">Team / employee contracts — formalize all (equity + IP assignment)</t>
  </si>
  <si>
    <t xml:space="preserve">FPIC + community benefit-sharing convenios (CCPIP)</t>
  </si>
  <si>
    <t xml:space="preserve">Corporate housekeeping / counsel retainer</t>
  </si>
  <si>
    <t xml:space="preserve">Subtotal (check vs $54,000)</t>
  </si>
  <si>
    <t xml:space="preserve">5 · GRANT APPLICATIONS</t>
  </si>
  <si>
    <t xml:space="preserve">Grant writer / specialist (prepares applications)</t>
  </si>
  <si>
    <t xml:space="preserve">Donor relations / comms (GCF / PROFONANPE / IDB)</t>
  </si>
  <si>
    <t xml:space="preserve">Technical proposal support (science / MRV narrative)</t>
  </si>
  <si>
    <t xml:space="preserve">Art 6.2 NoI follow-through</t>
  </si>
  <si>
    <t xml:space="preserve">Subtotal (check vs $34,000)</t>
  </si>
  <si>
    <t xml:space="preserve">6 · CORE TEAM (company, 8-month sprint)</t>
  </si>
  <si>
    <t xml:space="preserve">Tech lead / platform build (8 mo)</t>
  </si>
  <si>
    <t xml:space="preserve">BD / partnerships lead (8 mo)</t>
  </si>
  <si>
    <t xml:space="preserve">Founder / CEO stipend (modest; rest deferred via founder loan)</t>
  </si>
  <si>
    <t xml:space="preserve">CFO — $1.5k/mo cash (rest of market salary → deferred as DEBT)</t>
  </si>
  <si>
    <t xml:space="preserve">PR / Marketing Officer — $1k/mo cash (rest → deferred as DEBT)</t>
  </si>
  <si>
    <t xml:space="preserve">Chief Scientific Officer — $1.5k/mo cash (rest → deferred as DEBT)</t>
  </si>
  <si>
    <t xml:space="preserve">Ops / admin (part-time, 8 mo)</t>
  </si>
  <si>
    <t xml:space="preserve">Cloud / compute (net of NVIDIA/AWS credits)</t>
  </si>
  <si>
    <t xml:space="preserve">Software / tools / subscriptions</t>
  </si>
  <si>
    <t xml:space="preserve">Buffer</t>
  </si>
  <si>
    <t xml:space="preserve">Subtotal (check vs $182,000)</t>
  </si>
  <si>
    <t xml:space="preserve">✅ Total still $600k. CFO/CSO/PR cash stipends kept lean (rest → deferred founder-style debt); balanced by trimming Legal ($70k→$54k) and Grants ($50k→$34k). $170k MVP verdict unchanged: field crew fully funded; flex = drone scope / eDNA count.</t>
  </si>
  <si>
    <t xml:space="preserve">GRANT &amp; NON-DILUTIVE FUNDING TRACKER</t>
  </si>
  <si>
    <t xml:space="preserve">Goal: fund the ~$19.3M platform build (ROOT) NON-DILUTIVELY via TERI (grant-eligible NGO), to preserve equity. 🔴 NONE secured yet — all PROSPECT (GATE 0 funding risk). Source: 04_Ціноутворення/CeibaQ_Grants_Possibilities.md (living registry).</t>
  </si>
  <si>
    <t xml:space="preserve">A · FUNDING NEED (platform build, by year)</t>
  </si>
  <si>
    <t xml:space="preserve">Grant tranche needed</t>
  </si>
  <si>
    <t xml:space="preserve">Σ $19.3M</t>
  </si>
  <si>
    <t xml:space="preserve">  (years)</t>
  </si>
  <si>
    <t xml:space="preserve">B · CANDIDATE GRANTORS (pipeline — full names · what they fund · amounts · Peru channel)</t>
  </si>
  <si>
    <t xml:space="preserve">Grantor (full name)</t>
  </si>
  <si>
    <t xml:space="preserve">Instrument</t>
  </si>
  <si>
    <t xml:space="preserve">What it funds</t>
  </si>
  <si>
    <t xml:space="preserve">Amount / ceiling</t>
  </si>
  <si>
    <t xml:space="preserve">Peru channel</t>
  </si>
  <si>
    <t xml:space="preserve">Conf.</t>
  </si>
  <si>
    <t xml:space="preserve">TIER 1</t>
  </si>
  <si>
    <t xml:space="preserve">⭐ Green Climate Fund (GCF) — Readiness</t>
  </si>
  <si>
    <t xml:space="preserve">Readiness &amp; Preparatory Support</t>
  </si>
  <si>
    <t xml:space="preserve">NFMS · MRV · FREL · baselines</t>
  </si>
  <si>
    <t xml:space="preserve">up to $1M/yr → $7M/4yr</t>
  </si>
  <si>
    <t xml:space="preserve">via PROFONANPE (DAE)</t>
  </si>
  <si>
    <t xml:space="preserve">HIGH</t>
  </si>
  <si>
    <t xml:space="preserve">⭐ Green Climate Fund (GCF) — Project Preparation Facility</t>
  </si>
  <si>
    <t xml:space="preserve">PPF</t>
  </si>
  <si>
    <t xml:space="preserve">data / baseline for project prep</t>
  </si>
  <si>
    <t xml:space="preserve">up to $1.5M / application</t>
  </si>
  <si>
    <t xml:space="preserve">PROFONANPE</t>
  </si>
  <si>
    <t xml:space="preserve">Green Climate Fund (GCF) — Full Funding Proposal</t>
  </si>
  <si>
    <t xml:space="preserve">FP (project cycle)</t>
  </si>
  <si>
    <t xml:space="preserve">MRV/monitoring as funded activity</t>
  </si>
  <si>
    <t xml:space="preserve">project-scale (no cap)</t>
  </si>
  <si>
    <t xml:space="preserve">PROFONANPE / UNDP</t>
  </si>
  <si>
    <t xml:space="preserve">⭐ Germany IKI (International Climate Initiative)</t>
  </si>
  <si>
    <t xml:space="preserve">Country/Thematic Calls + Small Grants</t>
  </si>
  <si>
    <t xml:space="preserve">builds national REDD+ system; accepts degradation/in-situ</t>
  </si>
  <si>
    <t xml:space="preserve">Large €5–20M · Small €60–200k</t>
  </si>
  <si>
    <t xml:space="preserve">via GIZ Peru (ikiperu@giz.de)</t>
  </si>
  <si>
    <t xml:space="preserve">⭐ IDB (Inter-American Development Bank) — Amazonia Forever</t>
  </si>
  <si>
    <t xml:space="preserve">AMDTF grant-trust + IDB Lab</t>
  </si>
  <si>
    <t xml:space="preserve">AMDTF accepts PRIVATE; data platform</t>
  </si>
  <si>
    <t xml:space="preserve">AMDTF &gt;$50M · IDB Lab up to $500k</t>
  </si>
  <si>
    <t xml:space="preserve">MINAM + AMDTF (private-friendly)</t>
  </si>
  <si>
    <t xml:space="preserve">⭐ Global Biodiversity Framework Fund (GBFF, via GEF)</t>
  </si>
  <si>
    <t xml:space="preserve">Biodiversity fund (GBF)</t>
  </si>
  <si>
    <t xml:space="preserve">monitoring/data as project component</t>
  </si>
  <si>
    <t xml:space="preserve">LIVE Peru project ~$11.2M (+$30M co-fin)</t>
  </si>
  <si>
    <t xml:space="preserve">WWF-US → MINAM / PROFONANPE</t>
  </si>
  <si>
    <t xml:space="preserve">Global Environment Facility (GEF) — Amazon Sustainable Landscapes</t>
  </si>
  <si>
    <t xml:space="preserve">Grant (child-project)</t>
  </si>
  <si>
    <t xml:space="preserve">funds in-situ monitoring (camera-traps etc.)</t>
  </si>
  <si>
    <t xml:space="preserve">$314M + ASL3 $102M</t>
  </si>
  <si>
    <t xml:space="preserve">WWF/IDB/WB + MINAM/SERNANP</t>
  </si>
  <si>
    <t xml:space="preserve">World Bank — EnABLE</t>
  </si>
  <si>
    <t xml:space="preserve">Grant (paired to SCALE)</t>
  </si>
  <si>
    <t xml:space="preserve">IP&amp;LC-led (indigenous/community) monitoring</t>
  </si>
  <si>
    <t xml:space="preserve">UK £10M + Norway $10M</t>
  </si>
  <si>
    <t xml:space="preserve">World Bank / national</t>
  </si>
  <si>
    <t xml:space="preserve">MED-HIGH</t>
  </si>
  <si>
    <t xml:space="preserve">⭐ CAF (Banco de Desarrollo de América Latina)</t>
  </si>
  <si>
    <t xml:space="preserve">$300M Strategic Ecosystems Program + TC grants</t>
  </si>
  <si>
    <t xml:space="preserve">degradation-MRV pilot; protected-area monitoring</t>
  </si>
  <si>
    <t xml:space="preserve">$300M program (private eligible)</t>
  </si>
  <si>
    <t xml:space="preserve">private/NGO direct or MEF+MINAM</t>
  </si>
  <si>
    <t xml:space="preserve">TIER 2</t>
  </si>
  <si>
    <t xml:space="preserve">Sweden — Article 6 Readiness Facility (+GGGI/MATS)</t>
  </si>
  <si>
    <t xml:space="preserve">Grant</t>
  </si>
  <si>
    <t xml:space="preserve">MRV capacity in the host country</t>
  </si>
  <si>
    <t xml:space="preserve">multi-donor</t>
  </si>
  <si>
    <t xml:space="preserve">Swedish Energy Agency / GGGI</t>
  </si>
  <si>
    <t xml:space="preserve">MED</t>
  </si>
  <si>
    <t xml:space="preserve">Switzerland / KliK Foundation</t>
  </si>
  <si>
    <t xml:space="preserve">Art 6.2 financier</t>
  </si>
  <si>
    <t xml:space="preserve">embeds digital MRV in funded projects</t>
  </si>
  <si>
    <t xml:space="preserve">per-project</t>
  </si>
  <si>
    <t xml:space="preserve">KliK / UNDP</t>
  </si>
  <si>
    <t xml:space="preserve">GIZ (Germany) — service tenders</t>
  </si>
  <si>
    <t xml:space="preserve">Service contracts</t>
  </si>
  <si>
    <t xml:space="preserve">forest-monitoring / MRV (for-profit route)</t>
  </si>
  <si>
    <t xml:space="preserve">per-tender</t>
  </si>
  <si>
    <t xml:space="preserve">GIZ Peru e-procurement</t>
  </si>
  <si>
    <t xml:space="preserve">GEF — Small Grants Programme (SGP)</t>
  </si>
  <si>
    <t xml:space="preserve">Small grant (via UNDP)</t>
  </si>
  <si>
    <t xml:space="preserve">community / NGO monitoring</t>
  </si>
  <si>
    <t xml:space="preserve">up to ~$50k / project</t>
  </si>
  <si>
    <t xml:space="preserve">via TERI (NGO)</t>
  </si>
  <si>
    <t xml:space="preserve">World Bank — Global Program on Sustainability (GPS / WAVES)</t>
  </si>
  <si>
    <t xml:space="preserve">Trust fund</t>
  </si>
  <si>
    <t xml:space="preserve">govt build of SEEA-accounts system</t>
  </si>
  <si>
    <t xml:space="preserve">TTA $50–250k · CIC up to $1M</t>
  </si>
  <si>
    <t xml:space="preserve">INEI (stats office) + MINAM</t>
  </si>
  <si>
    <t xml:space="preserve">Norway NICFI (Intl. Climate &amp; Forest Initiative)</t>
  </si>
  <si>
    <t xml:space="preserve">Public-good data purchase</t>
  </si>
  <si>
    <t xml:space="preserve">could buy a degradation-data layer (like satellite)</t>
  </si>
  <si>
    <t xml:space="preserve">~$43.5M / contract (satellite analog)</t>
  </si>
  <si>
    <t xml:space="preserve">NICFI / Norad</t>
  </si>
  <si>
    <t xml:space="preserve">Opportunity</t>
  </si>
  <si>
    <t xml:space="preserve">International Land and Forest Tenure Facility</t>
  </si>
  <si>
    <t xml:space="preserve">indigenous land tenure + community monitoring</t>
  </si>
  <si>
    <t xml:space="preserve">indigenous orgs (AIDESEP/CONAP)</t>
  </si>
  <si>
    <t xml:space="preserve">GCF Task Force (Governors’ Climate &amp; Forests)</t>
  </si>
  <si>
    <t xml:space="preserve">Sub-national network</t>
  </si>
  <si>
    <t xml:space="preserve">jurisdiction strategies / investment plans</t>
  </si>
  <si>
    <t xml:space="preserve">Window A up to $400k/jurisdiction</t>
  </si>
  <si>
    <t xml:space="preserve">governors / 7 Peru regions</t>
  </si>
  <si>
    <t xml:space="preserve">MED (channel)</t>
  </si>
  <si>
    <t xml:space="preserve">PHILANTHROPIES (large foundations)</t>
  </si>
  <si>
    <t xml:space="preserve">Bezos Earth Fund</t>
  </si>
  <si>
    <t xml:space="preserve">AI / satellite Amazon monitoring · MRV-integrity · data</t>
  </si>
  <si>
    <t xml:space="preserve">grant (various, large)</t>
  </si>
  <si>
    <t xml:space="preserve">direct / via TERI</t>
  </si>
  <si>
    <t xml:space="preserve">Gordon &amp; Betty Moore Foundation</t>
  </si>
  <si>
    <t xml:space="preserve">Andes-Amazon conservation · data</t>
  </si>
  <si>
    <t xml:space="preserve">grant (various)</t>
  </si>
  <si>
    <t xml:space="preserve">direct / NGO</t>
  </si>
  <si>
    <t xml:space="preserve">Quadrature Climate Foundation</t>
  </si>
  <si>
    <t xml:space="preserve">MRV-integrity · climate data</t>
  </si>
  <si>
    <t xml:space="preserve">KEY PERU CHANNEL</t>
  </si>
  <si>
    <t xml:space="preserve">PROFONANPE (Fondo de Promoción de las Áreas Naturales Protegidas del Perú)</t>
  </si>
  <si>
    <t xml:space="preserve">Peru national eco-fund — GCF Direct Access Entity</t>
  </si>
  <si>
    <t xml:space="preserve">routes GCF/GEF money; ⭐ SIGNS + PAYS itself</t>
  </si>
  <si>
    <t xml:space="preserve">— (the channel)</t>
  </si>
  <si>
    <t xml:space="preserve">🔴 Secured to date: $0 — entire stack is a PIPELINE. First grant LOI is GATE 0 for the build. Verify each fund’s eligibility for a data/MRV company before relying on it. ⭐ = strongest Peru-live path. Full detail + source URLs in CeibaQ_Grants_Possibilities.md.</t>
  </si>
  <si>
    <t xml:space="preserve">Legal &amp; Commercial Risks — IFRS / DD notes (moved from Assumptions)</t>
  </si>
  <si>
    <t xml:space="preserve">Revenue recognition, IAS 20 grant treatment, Article 6.2 conditionality, IS4 independence, ABS/Nagoya. The DRIVERS these imply stay on Assumptions; this sheet holds the narrative.</t>
  </si>
  <si>
    <t xml:space="preserve">IS1/IS2 license</t>
  </si>
  <si>
    <t xml:space="preserve">IFRS 15: right-to-access → recognise OVER TIME (stand-ready). Confirm cancellability.</t>
  </si>
  <si>
    <t xml:space="preserve">IS3 MaaS</t>
  </si>
  <si>
    <t xml:space="preserve">Over-time service. Recognise as delivered.</t>
  </si>
  <si>
    <t xml:space="preserve">Own credits $30/t</t>
  </si>
  <si>
    <t xml:space="preserve">Point-in-time on issuance/transfer; CeibaQ = principal. ⚠ CONDITIONAL on Peru Art 6.2 authorization + corresponding adjustment — absent CA, voluntary ~$8 applies. Re-tag as conditional, add downside toggle.</t>
  </si>
  <si>
    <t xml:space="preserve">Grant-funded ROOT</t>
  </si>
  <si>
    <t xml:space="preserve">IAS 20: grant ($12M) either nets the depreciable asset base OR deferred income released over life. Amortization should run on the NET base — current full-$17.3M amort is overstated. Elect method.</t>
  </si>
  <si>
    <t xml:space="preserve">IS4 independence</t>
  </si>
  <si>
    <t xml:space="preserve">⚠ Selling own credits + verifying outcomes = assurance-independence conflict (ISAE 3000/3410). Need firewall: separate legal entity or third-party assurer. Model IS4 as independent unit.</t>
  </si>
  <si>
    <t xml:space="preserve">Volumes (block F)</t>
  </si>
  <si>
    <t xml:space="preserve">Management estimate — needs contract-status column (LOI/MOU/signed; take-or-pay vs cancellable) + customer-concentration note (GOREL/jurisdiction denominator).</t>
  </si>
  <si>
    <t xml:space="preserve">Confidence tags</t>
  </si>
  <si>
    <t xml:space="preserve">Every revenue-driving price needs a real source/comparable, not just "Pricing". Volumes are all grade C.</t>
  </si>
  <si>
    <t xml:space="preserve">ENTITY / CORPORATE STRUCTURE (to be legally formalised)</t>
  </si>
  <si>
    <t xml:space="preserve">AWAKEN AI S.A. — OpCo (the data company)</t>
  </si>
  <si>
    <t xml:space="preserve">THE data company we value &amp; raise for. OWNERSHIP (formation): Olha Sytnyk 75% · team + ESOP pool 25% (Luis Silva CFO 5%, Evgen Dykyi CSO 5%, Olena Koval PR 2%, Mariam Mamedli CPO 1.5% + reserved CTO/COO/Legal/Advisors 11.5%). Issues equity (pre-seed/seed/Series A) — all holders dilute pro-rata. Operates under Ley 27037 (Amazon Investment Law → 5% CIT in Loreto).</t>
  </si>
  <si>
    <t xml:space="preserve">AWAKEN Management S.A.C. (RUC 20613693689) — concession holder</t>
  </si>
  <si>
    <t xml:space="preserve">Holds the ~90,000-ha Tamshiyacu-Tahuayo forest concession (40-yr). OWNED 70% by AWAKEN AI (30% = concession partners → non-controlling interest on the Balance Sheet). Operates under Ley 27037. PURPOSE of the concession → see "Concession" row below.</t>
  </si>
  <si>
    <t xml:space="preserve">TERI — Tropical Ecosystems Research Institute</t>
  </si>
  <si>
    <t xml:space="preserve">Non-Governmental Organization (NGO), founded; DIRECTOR = Olha Sytnyk. Grant-eligible science entity. Builds &amp; holds the ROOT platform and RECEIVES the non-dilutive grant that funds ROOT — keeping the neutral data/verification layer conflict-free from the credit issuer.</t>
  </si>
  <si>
    <t xml:space="preserve">Carbon credits — via AWAKEN Management</t>
  </si>
  <si>
    <t xml:space="preserve">Concession carbon credits are routed through AWAKEN Management (pure-data model): credit cash flows to GROUP cash, NOT into the data-company P&amp;L. Consolidated 70% to AWAKEN AI, 30% NCI. Keeps the data company a clean SaaS/data story for investors.</t>
  </si>
  <si>
    <t xml:space="preserve">⚠ To be legally structured</t>
  </si>
  <si>
    <t xml:space="preserve">Founder-loan formalisation ($149.9k, pending) · intercompany ROOT licence (TERI→AWAKEN AI) · FPIC + benefit-sharing convenios (CCPIP) · USPTO patent (pending) · firewall to keep ROOT/credits off the equity story.</t>
  </si>
  <si>
    <t xml:space="preserve">Concession — PURPOSE (why CeibaQ holds one)</t>
  </si>
  <si>
    <t xml:space="preserve">NOT a revenue play in the data P&amp;L. The concession is the PHYSICAL CALIBRATION &amp; GROUND-TRUTH site for ROOT — real Amazon forest where sensors + drones + eDNA generate the field data that trains and validates the measurement models. Without it, ROOT outputs are uncalibrated. Its carbon revenue is a separate group-cash stream (off the data P&amp;L).</t>
  </si>
  <si>
    <t xml:space="preserve">ROOT financing — GRANT (base) vs DEBT (Scenario B)</t>
  </si>
  <si>
    <t xml:space="preserve">The $19.3M ROOT build is planned NON-DILUTIVELY. Scenario A (base) = GRANT via TERI (IAS-20 — nets the asset, D&amp;A≈0). Scenario B (if grant slips) = concessional DEBT (MDB, against contracted revenue) — preserves founder control, capitalised &amp; depreciated (see Depreciation sheet). Either way the $19.3M does NOT come from the equity rounds.</t>
  </si>
  <si>
    <t xml:space="preserve">Ley 27037 (Amazon Investment Law) — fiscal basis</t>
  </si>
  <si>
    <t xml:space="preserve">AWAKEN AI and AWAKEN Management both operate in Loreto (Peruvian Amazonia) under Ley 27037 (Amazon Investment Law): 5% corporate income tax (vs 29.5%) + 0% import duties on machinery/electronics. Benefit runs to 31-Dec-2048 (50-yr horizon of the statute) — NOT 2028. ALL our infrastructure and jobs are in Amazonia → the activity qualifies; a Peru tax-counsel memo will be provided on investor request. ⚠ Do NOT claim IGV/VAT exemption (repealed for Loreto 2018).</t>
  </si>
  <si>
    <t xml:space="preserve">IP assignment</t>
  </si>
  <si>
    <t xml:space="preserve">1 USPTO application PENDING (never "patented"/"granted"). ⚠ Inventor/contractor IP-assignment agreements to AWAKEN AI S.A. MUST be executed before DD — currently unsigned.</t>
  </si>
  <si>
    <t xml:space="preserve">30% NCI — AWAKEN Management</t>
  </si>
  <si>
    <t xml:space="preserve">The 30% non-controlling interest (concession partners) needs a shareholders' agreement (drag/tag, reserved matters, transfer) — not yet drafted.</t>
  </si>
  <si>
    <t xml:space="preserve">NOL / loss carry-forward</t>
  </si>
  <si>
    <t xml:space="preserve">2027 build loss (≈ −$2.07M) conservatively NOT modeled as a tax shield — modest upside to early cash when applied (Peru NOL rules to confirm).</t>
  </si>
  <si>
    <t xml:space="preserve">Scenario base</t>
  </si>
  <si>
    <t xml:space="preserve">⚠ The grant ($19.3M) is UNSECURED — treat the NO-GRANT (debt) path as a co-base, not just a downside, until a grant LOI is in hand.</t>
  </si>
  <si>
    <t xml:space="preserve">LEY 27037 — «Ley de Promoción de la Inversión en la Amazonía» (1998) — what it provides</t>
  </si>
  <si>
    <t xml:space="preserve">Reduced corporate income tax in the Amazon</t>
  </si>
  <si>
    <t xml:space="preserve">5% CIT in LORETO + named provinces (Art 12.2), vs Peru standard 29.5% (10% in other Amazon zones). Verified verbatim from PRIMARY source congreso.gob.pe.</t>
  </si>
  <si>
    <t xml:space="preserve">Eligible activities — a CLOSED list (Art 11.1)</t>
  </si>
  <si>
    <t xml:space="preserve">Agriculture · livestock · aquaculture · fishing · tourism · forestry · and manufacturing/processing of those regional products — OR forest extraction. ⚠ PRIMARY source: a DATA/MRV activity is NOT explicitly on the Art 11.1 list.</t>
  </si>
  <si>
    <t xml:space="preserve">Import duties</t>
  </si>
  <si>
    <t xml:space="preserve">0% ad-valorem duties on machinery/equipment for use in the Amazon.</t>
  </si>
  <si>
    <t xml:space="preserve">Horizon</t>
  </si>
  <si>
    <t xml:space="preserve">Benefit runs 50 years → to 31-Dec-2048 (NOT 2028 — that figure was a stale error, corrected here).</t>
  </si>
  <si>
    <t xml:space="preserve">IGV / VAT</t>
  </si>
  <si>
    <t xml:space="preserve">⚠ The IGV (VAT) exemption was REPEALED for Loreto in 2018 — do NOT claim any VAT exemption.</t>
  </si>
  <si>
    <t xml:space="preserve">► OUR ELIGIBILITY POSITION (Peru tax-counsel memo on investor request)</t>
  </si>
  <si>
    <t xml:space="preserve">AWAKEN Management S.A.C. (concession) does FOREST activity → qualifies for 5% (forest extraction). AWAKEN AI S.A. (data company): all infrastructure + jobs are in Loreto/Amazonia (management position = qualifies), BUT since data/MRV is not explicitly in Art 11.1, the 5% rate for the DATA company rests on its forestry/Amazon linkage and must be confirmed by Peru tax counsel. Fallback if not 5%: 10% (Amazon) or 29.5% (standard). The model currently applies 5% (management estimate).</t>
  </si>
  <si>
    <t xml:space="preserve">RECON CONTROLS — cross-sheet Δ=0 checks</t>
  </si>
  <si>
    <t xml:space="preserve">Live tie-outs between sheets. Every Δ must = 0 (within rounding). If a formula link breaks, its row flips to ❌ — a built-in integrity alarm.</t>
  </si>
  <si>
    <t xml:space="preserve">Check</t>
  </si>
  <si>
    <t xml:space="preserve">Value A</t>
  </si>
  <si>
    <t xml:space="preserve">Value B</t>
  </si>
  <si>
    <t xml:space="preserve">Δ (A−B)</t>
  </si>
  <si>
    <t xml:space="preserve">Status</t>
  </si>
  <si>
    <t xml:space="preserve">Revenue 2035 — CTS portfolio = P&amp;L total</t>
  </si>
  <si>
    <t xml:space="preserve">Revenue-mix total = CTS portfolio (2035)</t>
  </si>
  <si>
    <t xml:space="preserve">ROOT allocation shares = 100%</t>
  </si>
  <si>
    <t xml:space="preserve">ROOT allocation $ = platform OpEx</t>
  </si>
  <si>
    <t xml:space="preserve">Overhead 2035 — P&amp;L = Roadmap</t>
  </si>
  <si>
    <t xml:space="preserve">Overhead categories sum = total (Roadmap 2035)</t>
  </si>
  <si>
    <t xml:space="preserve">EBITDA 2035 = Gross profit − Overhead</t>
  </si>
  <si>
    <t xml:space="preserve">Grant total = platform CapEx $19,319,500</t>
  </si>
  <si>
    <t xml:space="preserve">Cash-Flow closing cash = Balance Sheet cash (2035)</t>
  </si>
  <si>
    <t xml:space="preserve">Cash-Flow grant total = P&amp;L grant total</t>
  </si>
  <si>
    <t xml:space="preserve">Cash-Flow 2027: grant in = CapEx out</t>
  </si>
  <si>
    <t xml:space="preserve">Balance Sheet balances all years (Σ|check|)</t>
  </si>
  <si>
    <t xml:space="preserve">MASTER</t>
  </si>
  <si>
    <t xml:space="preserve">DATA QUALITY GATES — confidence map &amp; what to verify</t>
  </si>
  <si>
    <t xml:space="preserve">Honest confidence per number. A = verified / primary-source / contracted · B = MED, defensible estimate (benchmark-anchored) · C = LOW, placeholder/unverified (gate-dependent). “Raises it” = the single proof that lifts confidence. ⚑ = a field pilot would resolve it.</t>
  </si>
  <si>
    <t xml:space="preserve">Number / claim</t>
  </si>
  <si>
    <t xml:space="preserve">Conf</t>
  </si>
  <si>
    <t xml:space="preserve">Current basis</t>
  </si>
  <si>
    <t xml:space="preserve">What raises confidence (the single proof)</t>
  </si>
  <si>
    <t xml:space="preserve">Pilot?</t>
  </si>
  <si>
    <t xml:space="preserve">Source</t>
  </si>
  <si>
    <t xml:space="preserve">IS1 ROI 2–8× (ART-TREES uncertainty)</t>
  </si>
  <si>
    <t xml:space="preserve">Mechanism VERIFIED to primary source (§8 Eq.10-11); magnitude is a defensible CI bracket (60%→30%), not a paired study.</t>
  </si>
  <si>
    <t xml:space="preserve">Paired field study (satellite-only vs CeibaQ-equipped, same jurisdiction) reporting the 90% CI.</t>
  </si>
  <si>
    <t xml:space="preserve">⚑</t>
  </si>
  <si>
    <t xml:space="preserve">SC-006</t>
  </si>
  <si>
    <t xml:space="preserve">IS1 price $0.20/ha</t>
  </si>
  <si>
    <t xml:space="preserve">Management estimate; no buyer LOI. Cheapest cited band.</t>
  </si>
  <si>
    <t xml:space="preserve">First signed jurisdictional contract.</t>
  </si>
  <si>
    <t xml:space="preserve">IS2 data licence $300k/$550k</t>
  </si>
  <si>
    <t xml:space="preserve">At/above the real Sylvera enterprise band ($50–250k ✅); WTP unconfirmed.</t>
  </si>
  <si>
    <t xml:space="preserve">First enterprise data-license LOI.</t>
  </si>
  <si>
    <t xml:space="preserve">IS3 carbon $0.50 / Art 6.2 targeting</t>
  </si>
  <si>
    <t xml:space="preserve">Directionally confirmed (fixed MRV = smaller % at higher $/t); Art 6.2 market nascent (~1 ITMO).</t>
  </si>
  <si>
    <t xml:space="preserve">Developer LOI in a $30+/t programme that rejects free GFW data.</t>
  </si>
  <si>
    <t xml:space="preserve">IS3 bio $1.50/ha</t>
  </si>
  <si>
    <t xml:space="preserve">No per-ha biodiversity benchmark exists; indicative.</t>
  </si>
  <si>
    <t xml:space="preserve">A comparable transaction or accepted bio-credit price.</t>
  </si>
  <si>
    <t xml:space="preserve">IS4 outcome verif 15 bps</t>
  </si>
  <si>
    <t xml:space="preserve">No outcome-verifier fee disclosed anywhere; judgment ceiling.</t>
  </si>
  <si>
    <t xml:space="preserve">First signed verification mandate.</t>
  </si>
  <si>
    <t xml:space="preserve">IS5 SEEA $525k/jurisdiction</t>
  </si>
  <si>
    <t xml:space="preserve">Anchored to World Bank GPS $50–250k systems pricing.</t>
  </si>
  <si>
    <t xml:space="preserve">First SEEA contract.</t>
  </si>
  <si>
    <t xml:space="preserve">Node density (HYDRO / sub-basins)</t>
  </si>
  <si>
    <t xml:space="preserve">Formula-derived; HYDRO fixed after SC-002 (was 10× under).</t>
  </si>
  <si>
    <t xml:space="preserve">Concession stratum map (GIS) ground-truth.</t>
  </si>
  <si>
    <t xml:space="preserve">SC-002</t>
  </si>
  <si>
    <t xml:space="preserve">Drone $0.040/ha (clustering)</t>
  </si>
  <si>
    <t xml:space="preserve">Depends on drone-utilization &amp; the 35M scan-ha/yr capacity budget.</t>
  </si>
  <si>
    <t xml:space="preserve">Capacity-budget sheet + field flight-hours data.</t>
  </si>
  <si>
    <t xml:space="preserve">SC-005</t>
  </si>
  <si>
    <t xml:space="preserve">ROOT CapEx $13.5–19.3M</t>
  </si>
  <si>
    <t xml:space="preserve">Range, not a point; tower is the swing item (pre-RFQ).</t>
  </si>
  <si>
    <t xml:space="preserve">Tower RFQ + final vendor quotes.</t>
  </si>
  <si>
    <t xml:space="preserve">SC-003</t>
  </si>
  <si>
    <t xml:space="preserve">ROOT OpEx $2.4–3.15M/yr</t>
  </si>
  <si>
    <t xml:space="preserve">Range; platform run-team + tower upkeep estimated.</t>
  </si>
  <si>
    <t xml:space="preserve">Signed vendor / cloud contracts.</t>
  </si>
  <si>
    <t xml:space="preserve">eDNA per-sample $135–400</t>
  </si>
  <si>
    <t xml:space="preserve">Own-lab fully-loaded estimate; not cheaper than turnkey at low volume.</t>
  </si>
  <si>
    <t xml:space="preserve">Real own-lab run-cost at scale (600–900 samples/yr).</t>
  </si>
  <si>
    <t xml:space="preserve">SC-004</t>
  </si>
  <si>
    <t xml:space="preserve">Concession carbon 1.8M t / $29M</t>
  </si>
  <si>
    <t xml:space="preserve">Placeholder (×1.15 bio, $25–35/t, 40% net) — not a validated assessment.</t>
  </si>
  <si>
    <t xml:space="preserve">Validated carbon assessment + a credit offtake/price.</t>
  </si>
  <si>
    <t xml:space="preserve">DEC 06-05</t>
  </si>
  <si>
    <t xml:space="preserve">−60–80% uncertainty moat</t>
  </si>
  <si>
    <t xml:space="preserve">PARTIAL — model-fusion reduces CI but field plots remain (margin 25–40%).</t>
  </si>
  <si>
    <t xml:space="preserve">Pilot paired-CI on one jurisdiction (before vs after).</t>
  </si>
  <si>
    <t xml:space="preserve">Model-first MRV acceptance</t>
  </si>
  <si>
    <t xml:space="preserve">No registry precedent for model-first MRV; the biggest phantom-revenue risk.</t>
  </si>
  <si>
    <t xml:space="preserve">Written VVB / ART acceptance letter of the output.</t>
  </si>
  <si>
    <t xml:space="preserve">Grant funding $19.3M</t>
  </si>
  <si>
    <t xml:space="preserve">Sources (AMDTF/GCF/GBFF) UNVERIFIED; GCF readiness does NOT cover CapEx.</t>
  </si>
  <si>
    <t xml:space="preserve">First grant LOI with an amount.</t>
  </si>
  <si>
    <t xml:space="preserve">SC-005·07</t>
  </si>
  <si>
    <t xml:space="preserve">Data-title / ownership (CANON §10)</t>
  </si>
  <si>
    <t xml:space="preserve">Desk-research only, not a legal opinion — yet it is the clean-data moat.</t>
  </si>
  <si>
    <t xml:space="preserve">Peruvian-lawyer formal data-ownership opinion.</t>
  </si>
  <si>
    <t xml:space="preserve">SC-007</t>
  </si>
  <si>
    <t xml:space="preserve">Confidence tally</t>
  </si>
  <si>
    <t xml:space="preserve">A (verified): 0   ·   B (MED): 9   ·   C (LOW): 8   ·   ⚑ pilot resolves 6 of them.</t>
  </si>
  <si>
    <t xml:space="preserve">Headline for DD: nothing is A yet — the model is honest management-estimate. A single field pilot lifts 6 of the load-bearing items (IS1 ROI, density, drone, eDNA, concession, moat). First signed contract + first grant LOI lift most of the rest.</t>
  </si>
  <si>
    <t xml:space="preserve">ROOT Platform — Cost Center (CapEx Build + OpEx Run)</t>
  </si>
  <si>
    <t xml:space="preserve">One-time capital to build the calibration platform, then annual run cost. Low/High = DD band · Plan = used in model.</t>
  </si>
  <si>
    <t xml:space="preserve">Component / line item</t>
  </si>
  <si>
    <t xml:space="preserve">Low ($)</t>
  </si>
  <si>
    <t xml:space="preserve">High ($)</t>
  </si>
  <si>
    <t xml:space="preserve">Plan ($)</t>
  </si>
  <si>
    <t xml:space="preserve">F1 — Flux super-towers (tower #1 terra-firme + tower #2 floodplain)</t>
  </si>
  <si>
    <t xml:space="preserve">Tower/mast 60–80m + foundation</t>
  </si>
  <si>
    <t xml:space="preserve">Eddy-covariance ×2 (LI-7500DS+LI-7700+Gill HS-50)</t>
  </si>
  <si>
    <t xml:space="preserve">Picarro G2508 trace-gas (N2O/CH4/CO2/NH3/H2O)</t>
  </si>
  <si>
    <t xml:space="preserve">Aerosol suite (SMPS TSI 3938 + CPC)</t>
  </si>
  <si>
    <t xml:space="preserve">LOW</t>
  </si>
  <si>
    <t xml:space="preserve">Micrometeorology profile (CNR4,PAR,T/RH,precip,wind)</t>
  </si>
  <si>
    <t xml:space="preserve">Soil flux + profiles (LI-8100A)</t>
  </si>
  <si>
    <t xml:space="preserve">Vegetation biophysics (phenocam,PRI/NDVI,sap-flow)</t>
  </si>
  <si>
    <t xml:space="preserve">DAQ + climate containers (Campbell CR6/CR1000X)</t>
  </si>
  <si>
    <t xml:space="preserve">Power (PV + Li-battery + diesel backup)</t>
  </si>
  <si>
    <t xml:space="preserve">Connectivity (Starlink Performance + redundancy)</t>
  </si>
  <si>
    <t xml:space="preserve">Field station / building (raised lab, quarters)</t>
  </si>
  <si>
    <t xml:space="preserve">Calibration gases + zero-air + cal-rig</t>
  </si>
  <si>
    <t xml:space="preserve">Remote-Amazon logistics &amp; mobilization</t>
  </si>
  <si>
    <t xml:space="preserve">Engineering/permitting/commissioning +10%</t>
  </si>
  <si>
    <t xml:space="preserve">Spare LI-7500DS/LI-7700 set</t>
  </si>
  <si>
    <t xml:space="preserve">Decommissioning bond / SERNANP eco-guarantee</t>
  </si>
  <si>
    <t xml:space="preserve">Security / site-presence (build phase)</t>
  </si>
  <si>
    <t xml:space="preserve">Contingency +22% (skeptic DD band)</t>
  </si>
  <si>
    <t xml:space="preserve">Flux tower #2 — floodplain (várzea/igapó)</t>
  </si>
  <si>
    <t xml:space="preserve">Subtotal — F1 (towers)</t>
  </si>
  <si>
    <t xml:space="preserve">F2 — Data-integration / fusion platform</t>
  </si>
  <si>
    <t xml:space="preserve">Lead Data Architect (intl, 2 PY)</t>
  </si>
  <si>
    <t xml:space="preserve">Data/ML engineers (Peru, US-pay, 6 PY)</t>
  </si>
  <si>
    <t xml:space="preserve">GIS/RS scientists (1 intl + 1 Peru, 4 PY)</t>
  </si>
  <si>
    <t xml:space="preserve">Geospatial DataOps (Peru, 2 PY)</t>
  </si>
  <si>
    <t xml:space="preserve">Lakehouse / feature-store / MLOps stand-up</t>
  </si>
  <si>
    <t xml:space="preserve">ESRI ArcGIS Enterprise (build)</t>
  </si>
  <si>
    <t xml:space="preserve">Cloud storage + ETL + compute (build, 24mo)</t>
  </si>
  <si>
    <t xml:space="preserve">Geospatial DB (PostGIS managed)</t>
  </si>
  <si>
    <t xml:space="preserve">Contingency on undocumented gov schemas (15%)</t>
  </si>
  <si>
    <t xml:space="preserve">Skeptic uplift to base $3.0M</t>
  </si>
  <si>
    <t xml:space="preserve">Subtotal — F2</t>
  </si>
  <si>
    <t xml:space="preserve">F3 — AI/ML protocols + digital-twin</t>
  </si>
  <si>
    <t xml:space="preserve">ML/geo team — fine-tune Prithvi-EO-2.0 + AlphaEarth</t>
  </si>
  <si>
    <t xml:space="preserve">Bioacoustics ML — Perch 2.0/BirdAVES</t>
  </si>
  <si>
    <t xml:space="preserve">eDNA-interpretation bioinformatics (1 FTE×1.5y)</t>
  </si>
  <si>
    <t xml:space="preserve">Digital-twin / fusion ML lead (1 FTE×1.5y)</t>
  </si>
  <si>
    <t xml:space="preserve">Training GPU compute (~40k H100-hr)</t>
  </si>
  <si>
    <t xml:space="preserve">Annotation / active-learning platform</t>
  </si>
  <si>
    <t xml:space="preserve">Ground-truth annotation labor (6 ecologists×18mo)</t>
  </si>
  <si>
    <t xml:space="preserve">Soundscape library curation</t>
  </si>
  <si>
    <t xml:space="preserve">eDNA-front model dev</t>
  </si>
  <si>
    <t xml:space="preserve">Skeptic uplift (data/MLOps eng + PM)</t>
  </si>
  <si>
    <t xml:space="preserve">Subtotal — F3</t>
  </si>
  <si>
    <t xml:space="preserve">F4 — Bio-reference (tree-crown library + digitization)</t>
  </si>
  <si>
    <t xml:space="preserve">Tree-crown field labor — 5 teams×4×$533/mo×12mo</t>
  </si>
  <si>
    <t xml:space="preserve">DJI drones ×6 (Mini 4 Pro Fly More)</t>
  </si>
  <si>
    <t xml:space="preserve">Amazon field logistics (boats/fuel/permits)</t>
  </si>
  <si>
    <t xml:space="preserve">Botanist/taxonomist + herbarium vouchering</t>
  </si>
  <si>
    <t xml:space="preserve">Sample processing, silica DNA, crown imaging</t>
  </si>
  <si>
    <t xml:space="preserve">Herbarium digitization — scan/database/georef</t>
  </si>
  <si>
    <t xml:space="preserve">Skeptic net adjust (collection/logistics/permits)</t>
  </si>
  <si>
    <t xml:space="preserve">Subtotal — F4</t>
  </si>
  <si>
    <t xml:space="preserve">F5 — eDNA (own lab + reference library + samples + Nagoya/legal)</t>
  </si>
  <si>
    <t xml:space="preserve">Own eDNA laboratory — build (A3: Illumina MiSeq sequencer + prep + IIAP partnership)</t>
  </si>
  <si>
    <t xml:space="preserve">4,500 reference voucher samples — field collection (tree + soil/water, Loreto)</t>
  </si>
  <si>
    <t xml:space="preserve">Amplicon / Sanger barcoding (rbcL+matK+ITS/COI)</t>
  </si>
  <si>
    <t xml:space="preserve">Bioinformatics curation + QC</t>
  </si>
  <si>
    <t xml:space="preserve">Lab management + CITES/Nagoya/ABS legal (one-time)</t>
  </si>
  <si>
    <t xml:space="preserve">Reference library — expansion to 16,000 taxa (2029 build-out)</t>
  </si>
  <si>
    <t xml:space="preserve">Subtotal — F5 (eDNA)</t>
  </si>
  <si>
    <t xml:space="preserve">F6 — External data + recognition libraries</t>
  </si>
  <si>
    <t xml:space="preserve">Planet Forest Carbon Diligence (one-time)</t>
  </si>
  <si>
    <t xml:space="preserve">Planet Forest Carbon Monitoring (3m pilot)</t>
  </si>
  <si>
    <t xml:space="preserve">Sentinel-1/-2 (Copernicus, 20-yr archive)</t>
  </si>
  <si>
    <t xml:space="preserve">FLUXNET/AmeriFlux/ICOS reference flux</t>
  </si>
  <si>
    <t xml:space="preserve">ATTO/LBA + HYBAM/IRD data + DUA legal</t>
  </si>
  <si>
    <t xml:space="preserve">Perch 2.0 / MegaDetector / SpeciesNet (open)</t>
  </si>
  <si>
    <t xml:space="preserve">BOLD + GenBank reference barcodes</t>
  </si>
  <si>
    <t xml:space="preserve">Crown imagery licensing gap-fill</t>
  </si>
  <si>
    <t xml:space="preserve">Recognition-model fine-tuning adaptation</t>
  </si>
  <si>
    <t xml:space="preserve">NVIDIA Earth-2/DGX compute (in-kind base)</t>
  </si>
  <si>
    <t xml:space="preserve">Additional reference libraries (soil/hydro/hyperspec)</t>
  </si>
  <si>
    <t xml:space="preserve">Subtotal — F6</t>
  </si>
  <si>
    <t xml:space="preserve">F7 — Research Center &amp; Concessions</t>
  </si>
  <si>
    <t xml:space="preserve">Node mesh — full concession (reference nodes, in ROOT)</t>
  </si>
  <si>
    <t xml:space="preserve">Field plots + peat-coring (calibration reference)</t>
  </si>
  <si>
    <t xml:space="preserve">R&amp;D Center campus — near Iquitos, private, 20-person</t>
  </si>
  <si>
    <t xml:space="preserve">Subtotal — F7 (R&amp;D + concessions)</t>
  </si>
  <si>
    <t xml:space="preserve">Phasing contingency reserve</t>
  </si>
  <si>
    <t xml:space="preserve">Subtotal — contingency</t>
  </si>
  <si>
    <t xml:space="preserve">ROOT CapEx — GRAND TOTAL (bottom-up build)</t>
  </si>
  <si>
    <t xml:space="preserve">Sensitivity — narrow-scope build (1 tower + eDNA-5k only) ≈ $13.5–15M</t>
  </si>
  <si>
    <t xml:space="preserve">PART 2 — ROOT OpEx (annual run cost, steady-state)</t>
  </si>
  <si>
    <t xml:space="preserve">O1  Tower upkeep (×2 towers)</t>
  </si>
  <si>
    <t xml:space="preserve">2 technicians + part-time site manager (rota)</t>
  </si>
  <si>
    <t xml:space="preserve">Calibration gases &amp; consumables</t>
  </si>
  <si>
    <t xml:space="preserve">Instrument repair/replacement &amp; recalibration</t>
  </si>
  <si>
    <t xml:space="preserve">Power O&amp;M (diesel + river delivery, battery)</t>
  </si>
  <si>
    <t xml:space="preserve">Logistics &amp; site access (boat/fuel/crew)</t>
  </si>
  <si>
    <t xml:space="preserve">Data mgmt / QA/QC / flux processing labor</t>
  </si>
  <si>
    <t xml:space="preserve">Insurance, permits renewal, contingency</t>
  </si>
  <si>
    <t xml:space="preserve">Connectivity (Starlink monthly)</t>
  </si>
  <si>
    <t xml:space="preserve">Security / site-presence</t>
  </si>
  <si>
    <t xml:space="preserve">Subtotal — O1</t>
  </si>
  <si>
    <t xml:space="preserve">O2  Platform run-team + cloud</t>
  </si>
  <si>
    <t xml:space="preserve">Steady-state run team (5.5–6 FTE)</t>
  </si>
  <si>
    <t xml:space="preserve">Cloud storage + steady compute</t>
  </si>
  <si>
    <t xml:space="preserve">Lakehouse/MLOps platform fees</t>
  </si>
  <si>
    <t xml:space="preserve">ESRI ArcGIS Enterprise maintenance</t>
  </si>
  <si>
    <t xml:space="preserve">Geospatial DB managed service</t>
  </si>
  <si>
    <t xml:space="preserve">Subtotal — O2</t>
  </si>
  <si>
    <t xml:space="preserve">O3  Protocol verification / model retrain (defensive IP)</t>
  </si>
  <si>
    <t xml:space="preserve">Model-refresh / retraining team (~2 FTE)</t>
  </si>
  <si>
    <t xml:space="preserve">Retraining / inference compute</t>
  </si>
  <si>
    <t xml:space="preserve">Annotation maintenance (active-learning)</t>
  </si>
  <si>
    <t xml:space="preserve">Platform + MLOps + model registry/vector-store</t>
  </si>
  <si>
    <t xml:space="preserve">Subtotal — O3</t>
  </si>
  <si>
    <t xml:space="preserve">O4  Library upkeep</t>
  </si>
  <si>
    <t xml:space="preserve">Tree-crown library refresh</t>
  </si>
  <si>
    <t xml:space="preserve">eDNA reference DB curation + expansion</t>
  </si>
  <si>
    <t xml:space="preserve">Voucher / digital-archive archiving</t>
  </si>
  <si>
    <t xml:space="preserve">Subtotal — O4</t>
  </si>
  <si>
    <t xml:space="preserve">O5  External data refresh</t>
  </si>
  <si>
    <t xml:space="preserve">Planet Monitoring refresh (calib footprint)</t>
  </si>
  <si>
    <t xml:space="preserve">Open-model re-tune (~0.2 FTE)</t>
  </si>
  <si>
    <t xml:space="preserve">Subtotal — O5</t>
  </si>
  <si>
    <t xml:space="preserve">O6  External flux-data partnerships</t>
  </si>
  <si>
    <t xml:space="preserve">Institutional MoUs + co-funding (IIAP/UNAP)</t>
  </si>
  <si>
    <t xml:space="preserve">Data engineer 0.5–1 FTE (ingest/QA)</t>
  </si>
  <si>
    <t xml:space="preserve">Travel / site-visits / MoU legal</t>
  </si>
  <si>
    <t xml:space="preserve">Contingency / co-fund new ecosystem station</t>
  </si>
  <si>
    <t xml:space="preserve">Subtotal — O6</t>
  </si>
  <si>
    <t xml:space="preserve">O7  Satellite imagery (NVIDIA credits ending)</t>
  </si>
  <si>
    <t xml:space="preserve">Satellite imagery — GROSS steady-state base</t>
  </si>
  <si>
    <t xml:space="preserve">  ↳ NVIDIA Earth-2 in-kind credit (MEMO)</t>
  </si>
  <si>
    <t xml:space="preserve">Subtotal — O7</t>
  </si>
  <si>
    <t xml:space="preserve">O8  Research Center &amp; Concessions (own-concession reference + R&amp;D campus)</t>
  </si>
  <si>
    <t xml:space="preserve">Reference node mesh upkeep (own-concession backbone)</t>
  </si>
  <si>
    <t xml:space="preserve">Reference plots re-census (permanent sample plots)</t>
  </si>
  <si>
    <t xml:space="preserve">Concession maintenance — security, access, presence</t>
  </si>
  <si>
    <t xml:space="preserve">R&amp;D Center upkeep (20-person campus)</t>
  </si>
  <si>
    <t xml:space="preserve">Drone calibration flights (LiDAR ground-truth)</t>
  </si>
  <si>
    <t xml:space="preserve">AI/cloud serving &amp; inference (satellite + LiDAR)</t>
  </si>
  <si>
    <t xml:space="preserve">eDNA reference-sampling refresh (own concessions)</t>
  </si>
  <si>
    <t xml:space="preserve">Subtotal — O8</t>
  </si>
  <si>
    <t xml:space="preserve">TOTAL ROOT OpEx / yr (steady-state, incl. R&amp;D campus + concession upkeep)</t>
  </si>
  <si>
    <t xml:space="preserve">MEMO — ROOT OpEx covers the FIXED reference/calibration layer + R&amp;D campus on OUR OWN concessions. Per-stream cost centers (A_Node/A_Drone/A_eDNA) count MARGINAL units for CLIENT concessions → no double-count.</t>
  </si>
  <si>
    <t xml:space="preserve">Aerial Survey — Drone Cost Center (CapEx + OpEx)</t>
  </si>
  <si>
    <t xml:space="preserve">Own-drone economics; capacity scenarios (35M scan-ha/yr base) in Assumptions. Per-scan-ha unit cost; coverage % applied later per product (density rules).</t>
  </si>
  <si>
    <t xml:space="preserve">Component</t>
  </si>
  <si>
    <t xml:space="preserve">Spec / note</t>
  </si>
  <si>
    <t xml:space="preserve">Skyeton Raybird-3 platform</t>
  </si>
  <si>
    <t xml:space="preserve">3 UAV + 2 GCS + catapult + spares + training (NO sensors). Endurance ~28h, range ~2,500km, payload ~5kg</t>
  </si>
  <si>
    <t xml:space="preserve">RIEGL VUX-1UAV²² LiDAR</t>
  </si>
  <si>
    <t xml:space="preserve">full-waveform 3.5kg; pulse-rate to 1.5MHz; CHM/AGB/sub-canopy — core MRV</t>
  </si>
  <si>
    <t xml:space="preserve">Phase One RGB</t>
  </si>
  <si>
    <t xml:space="preserve">orthophoto/photogrammetry</t>
  </si>
  <si>
    <t xml:space="preserve">EO/IR gimbal</t>
  </si>
  <si>
    <t xml:space="preserve">threats + thermal</t>
  </si>
  <si>
    <t xml:space="preserve">SAR radar</t>
  </si>
  <si>
    <t xml:space="preserve">structure through cloud; shareable per hub</t>
  </si>
  <si>
    <t xml:space="preserve">Operator training</t>
  </si>
  <si>
    <t xml:space="preserve">Σ drone capex</t>
  </si>
  <si>
    <t xml:space="preserve">Drone OpEx (field op): fuel/logistics $250k + operators $250k + spares $100k = $600k/yr. Amort $0.784M/yr (5yr). LiDAR processing in ROOT AI/cloud.</t>
  </si>
  <si>
    <t xml:space="preserve">Drone OpEx (annual, field operation)</t>
  </si>
  <si>
    <t xml:space="preserve">Fuel &amp; field logistics</t>
  </si>
  <si>
    <t xml:space="preserve">flights, boats, mobilisation</t>
  </si>
  <si>
    <t xml:space="preserve">Operators &amp; maintenance</t>
  </si>
  <si>
    <t xml:space="preserve">pilots, LiDAR processing crew</t>
  </si>
  <si>
    <t xml:space="preserve">Spares &amp; repair</t>
  </si>
  <si>
    <t xml:space="preserve">tropical wear, replacements</t>
  </si>
  <si>
    <t xml:space="preserve">Drone OpEx — total / yr</t>
  </si>
  <si>
    <t xml:space="preserve">Amortization $0.784M/yr (5-yr life) — separate from cash OpEx; capacity scenarios 20/24/35/48M scan-ha/yr in Assumptions.</t>
  </si>
  <si>
    <t xml:space="preserve">JURISDICTIONAL CLUSTERS — why the drone is $0.040/ha (utilization)</t>
  </si>
  <si>
    <t xml:space="preserve">WITHOUT CLUSTERING THE PRODUCT IS NOT VIABLE. Drone $/ha is set by drone UTILIZATION, not the drone itself (capacity = 35M scan-ha/yr). A standalone jurisdiction loads a drone only 20–40% → $0.07–0.13/ha. By grouping jurisdictions into full-drone packages (Loreto 73%, Bolivia 96%, BR-Amazonas 101%), average cost is pushed to ~$0.040/ha — otherwise we would fly a BOUGHT drone at $1.5/scan-ha (pilot rate, ~37× more), which kills IS1 economics. Clustering is what makes the $0.20/ha jurisdictional license profitable. (Also = the hectare basis for IS1/IS5 volumes.) Source: G1_Jurisdictional_License.md.</t>
  </si>
  <si>
    <t xml:space="preserve">Cluster (package)</t>
  </si>
  <si>
    <t xml:space="preserve">Area Mha</t>
  </si>
  <si>
    <t xml:space="preserve">Jurisdictions included</t>
  </si>
  <si>
    <t xml:space="preserve">Drones</t>
  </si>
  <si>
    <t xml:space="preserve">Load %</t>
  </si>
  <si>
    <t xml:space="preserve">$/ha/yr</t>
  </si>
  <si>
    <t xml:space="preserve">PE-Loreto</t>
  </si>
  <si>
    <t xml:space="preserve">Loreto</t>
  </si>
  <si>
    <t xml:space="preserve">PE-Center</t>
  </si>
  <si>
    <t xml:space="preserve">Ucayali+San Martín+Amazonas-PE</t>
  </si>
  <si>
    <t xml:space="preserve">PE-South</t>
  </si>
  <si>
    <t xml:space="preserve">MdD+Cusco+Junín+Huánuco+Pasco+Puno+edges</t>
  </si>
  <si>
    <t xml:space="preserve">BR-Amazonas</t>
  </si>
  <si>
    <t xml:space="preserve">Amazonas-BR</t>
  </si>
  <si>
    <t xml:space="preserve">BR-Pará</t>
  </si>
  <si>
    <t xml:space="preserve">Pará</t>
  </si>
  <si>
    <t xml:space="preserve">BR-Mato Grosso</t>
  </si>
  <si>
    <t xml:space="preserve">Mato Grosso</t>
  </si>
  <si>
    <t xml:space="preserve">BR-West</t>
  </si>
  <si>
    <t xml:space="preserve">Acre+Rondônia</t>
  </si>
  <si>
    <t xml:space="preserve">BR-North</t>
  </si>
  <si>
    <t xml:space="preserve">Roraima+Amapá</t>
  </si>
  <si>
    <t xml:space="preserve">BR-East</t>
  </si>
  <si>
    <t xml:space="preserve">Maranhão+Tocantins</t>
  </si>
  <si>
    <t xml:space="preserve">Colombia</t>
  </si>
  <si>
    <t xml:space="preserve">all 7 departments</t>
  </si>
  <si>
    <t xml:space="preserve">Ecuador</t>
  </si>
  <si>
    <t xml:space="preserve">all 6 provinces</t>
  </si>
  <si>
    <t xml:space="preserve">Bolivia</t>
  </si>
  <si>
    <t xml:space="preserve">all 5 departments</t>
  </si>
  <si>
    <t xml:space="preserve">Venezuela</t>
  </si>
  <si>
    <t xml:space="preserve">Amazonas-VE+Bolívar+Delta</t>
  </si>
  <si>
    <t xml:space="preserve">Guianas</t>
  </si>
  <si>
    <t xml:space="preserve">Guyana+Suriname+Fr.Guiana</t>
  </si>
  <si>
    <t xml:space="preserve">ALL AMAZON (Σ)</t>
  </si>
  <si>
    <t xml:space="preserve">44 jurisdictions · 14 packages</t>
  </si>
  <si>
    <t xml:space="preserve">In-situ Sensor Nodes — Cost Center (full BOM by tier · range + base)</t>
  </si>
  <si>
    <t xml:space="preserve">Every component listed with what it measures + the certification it feeds. Two price columns: Low = at-scale own-build (volume manufacturing) · High = retail single-unit reference. The BASE row is the ONE figure taken into the financial model and from which node OpEx is calculated. Density (nodes/ha) applied later per product.</t>
  </si>
  <si>
    <t xml:space="preserve">What it measures / role</t>
  </si>
  <si>
    <t xml:space="preserve">Feeds (certification)</t>
  </si>
  <si>
    <t xml:space="preserve">Low $</t>
  </si>
  <si>
    <t xml:space="preserve">High $</t>
  </si>
  <si>
    <t xml:space="preserve">ECHO Mini-node — dense undercanopy mesh (~1 / 50 ha)</t>
  </si>
  <si>
    <t xml:space="preserve">ESP32-S3 microcontroller (MCU)</t>
  </si>
  <si>
    <t xml:space="preserve">on-node brain; runs sensors &amp; computes acoustic signatures</t>
  </si>
  <si>
    <t xml:space="preserve">INMP441 MEMS microphone</t>
  </si>
  <si>
    <t xml:space="preserve">forest sounds: birds, frogs, insects + threats (chainsaw, gunshot)</t>
  </si>
  <si>
    <t xml:space="preserve">Plan Vivo, Verra, Gold Standard</t>
  </si>
  <si>
    <t xml:space="preserve">SHT31 microclimate</t>
  </si>
  <si>
    <t xml:space="preserve">air temperature &amp; humidity</t>
  </si>
  <si>
    <t xml:space="preserve">SEEA-condition, CSRD</t>
  </si>
  <si>
    <t xml:space="preserve">Capacitive soil moisture</t>
  </si>
  <si>
    <t xml:space="preserve">soil moisture</t>
  </si>
  <si>
    <t xml:space="preserve">VM0042, SEEA-water</t>
  </si>
  <si>
    <t xml:space="preserve">LoRa SX1276/RFM95 + antenna</t>
  </si>
  <si>
    <t xml:space="preserve">long-range wireless data link</t>
  </si>
  <si>
    <t xml:space="preserve">data backhaul</t>
  </si>
  <si>
    <t xml:space="preserve">RTC DS3231</t>
  </si>
  <si>
    <t xml:space="preserve">precise clock — timestamps each reading</t>
  </si>
  <si>
    <t xml:space="preserve">data trust → all programs</t>
  </si>
  <si>
    <t xml:space="preserve">Logic-level / voltage regulator</t>
  </si>
  <si>
    <t xml:space="preserve">power conditioning</t>
  </si>
  <si>
    <t xml:space="preserve">LiFePO₄ 2×18650 + holder + BMS</t>
  </si>
  <si>
    <t xml:space="preserve">rugged battery (heat/humidity)</t>
  </si>
  <si>
    <t xml:space="preserve">MPPT / CN3058 charger</t>
  </si>
  <si>
    <t xml:space="preserve">solar charge control</t>
  </si>
  <si>
    <t xml:space="preserve">ATECC608A secure element</t>
  </si>
  <si>
    <t xml:space="preserve">digital signature on data (anti-tamper)</t>
  </si>
  <si>
    <t xml:space="preserve">data trust/audit → all</t>
  </si>
  <si>
    <t xml:space="preserve">5W solar panel + yoke</t>
  </si>
  <si>
    <t xml:space="preserve">autonomous power</t>
  </si>
  <si>
    <t xml:space="preserve">IP66/67 UV enclosure</t>
  </si>
  <si>
    <t xml:space="preserve">weatherproof housing</t>
  </si>
  <si>
    <t xml:space="preserve">Ceiba-cap sunshade</t>
  </si>
  <si>
    <t xml:space="preserve">sun/rain shield, cooling</t>
  </si>
  <si>
    <t xml:space="preserve">Gore vent + desiccant</t>
  </si>
  <si>
    <t xml:space="preserve">anti-condensation</t>
  </si>
  <si>
    <t xml:space="preserve">GDT/TVS lightning kit</t>
  </si>
  <si>
    <t xml:space="preserve">lightning protection</t>
  </si>
  <si>
    <t xml:space="preserve">M12 connectors + glands</t>
  </si>
  <si>
    <t xml:space="preserve">waterproof solderless connectors</t>
  </si>
  <si>
    <t xml:space="preserve">Custom PCB + harness</t>
  </si>
  <si>
    <t xml:space="preserve">board connecting components</t>
  </si>
  <si>
    <t xml:space="preserve">Outdoor cable (UV, 5–10m)</t>
  </si>
  <si>
    <t xml:space="preserve">weatherproof sensor/power cable</t>
  </si>
  <si>
    <t xml:space="preserve">Conduit + mounts + ties</t>
  </si>
  <si>
    <t xml:space="preserve">cable protection along bark</t>
  </si>
  <si>
    <t xml:space="preserve">Hardware subtotal</t>
  </si>
  <si>
    <t xml:space="preserve">Field installation (labour, deployment)</t>
  </si>
  <si>
    <t xml:space="preserve">Installed cost / node — RANGE (from–to)</t>
  </si>
  <si>
    <t xml:space="preserve">➤ BASE — taken for financial model (drives OpEx)</t>
  </si>
  <si>
    <t xml:space="preserve">Base = conservative at-scale own-build figure (above lean floor, below retail). High = retail single-unit reference; the spread is our vertical-integration margin.</t>
  </si>
  <si>
    <t xml:space="preserve">NEXUS-Hub — mid-canopy concentrator (~1 / 500 ha)</t>
  </si>
  <si>
    <t xml:space="preserve">Jetson Orin Nano</t>
  </si>
  <si>
    <t xml:space="preserve">edge AI — processes video &amp; audio in-forest (species, threats)</t>
  </si>
  <si>
    <t xml:space="preserve">all certifications</t>
  </si>
  <si>
    <t xml:space="preserve">Island MCU (RP2040/ESP32-S3)</t>
  </si>
  <si>
    <t xml:space="preserve">always-on low-power chip; wakes the AI on demand</t>
  </si>
  <si>
    <t xml:space="preserve">RGB camera OV2640 ×2</t>
  </si>
  <si>
    <t xml:space="preserve">canopy, flowering, fauna imaging</t>
  </si>
  <si>
    <t xml:space="preserve">Verra, VSV, SEEA-condition</t>
  </si>
  <si>
    <t xml:space="preserve">IR camera OV2640 850nm</t>
  </si>
  <si>
    <t xml:space="preserve">night-time fauna imaging</t>
  </si>
  <si>
    <t xml:space="preserve">VSV</t>
  </si>
  <si>
    <t xml:space="preserve">PIR HC-SR501 ×4</t>
  </si>
  <si>
    <t xml:space="preserve">motion of animals / humans</t>
  </si>
  <si>
    <t xml:space="preserve">VSV, REDD</t>
  </si>
  <si>
    <t xml:space="preserve">AudioMoth 384 kHz</t>
  </si>
  <si>
    <t xml:space="preserve">professional recorder incl. bat ultrasound</t>
  </si>
  <si>
    <t xml:space="preserve">VSV/PVN</t>
  </si>
  <si>
    <t xml:space="preserve">INMP441 microphone</t>
  </si>
  <si>
    <t xml:space="preserve">forest sounds &amp; threats</t>
  </si>
  <si>
    <t xml:space="preserve">PVN, GS, REDD</t>
  </si>
  <si>
    <t xml:space="preserve">SCD40 CO₂ sensor</t>
  </si>
  <si>
    <t xml:space="preserve">soil respiration ("forest breathing")</t>
  </si>
  <si>
    <t xml:space="preserve">VM0042, SEEA-carbon</t>
  </si>
  <si>
    <t xml:space="preserve">Capacitive soil moisture+temp</t>
  </si>
  <si>
    <t xml:space="preserve">soil moisture &amp; temperature</t>
  </si>
  <si>
    <t xml:space="preserve">ADS1115 ADC</t>
  </si>
  <si>
    <t xml:space="preserve">analog→digital conversion</t>
  </si>
  <si>
    <t xml:space="preserve">Band dendrometer</t>
  </si>
  <si>
    <t xml:space="preserve">tree-trunk diameter growth</t>
  </si>
  <si>
    <t xml:space="preserve">VM0047/48, SEEA-carbon</t>
  </si>
  <si>
    <t xml:space="preserve">Load-cell litter trap</t>
  </si>
  <si>
    <t xml:space="preserve">leaf-litterfall mass (productivity)</t>
  </si>
  <si>
    <t xml:space="preserve">Verra, SEEA-carbon</t>
  </si>
  <si>
    <t xml:space="preserve">Tipping rain gauge</t>
  </si>
  <si>
    <t xml:space="preserve">precipitation</t>
  </si>
  <si>
    <t xml:space="preserve">Water Benefit, SEEA-water</t>
  </si>
  <si>
    <t xml:space="preserve">12V 40Ah LiFePO₄ + BMS</t>
  </si>
  <si>
    <t xml:space="preserve">station battery</t>
  </si>
  <si>
    <t xml:space="preserve">MPPT charge controller 10A</t>
  </si>
  <si>
    <t xml:space="preserve">Solar panel 30–40W</t>
  </si>
  <si>
    <t xml:space="preserve">power</t>
  </si>
  <si>
    <t xml:space="preserve">IP67 main enclosure</t>
  </si>
  <si>
    <t xml:space="preserve">electronics housing</t>
  </si>
  <si>
    <t xml:space="preserve">IP67 junction box</t>
  </si>
  <si>
    <t xml:space="preserve">wiring housing</t>
  </si>
  <si>
    <t xml:space="preserve">Gore vent + desiccant ×2</t>
  </si>
  <si>
    <t xml:space="preserve">Lightning air terminal + ground rod</t>
  </si>
  <si>
    <t xml:space="preserve">lightning protection for Jetson</t>
  </si>
  <si>
    <t xml:space="preserve">GDT/TVS surge</t>
  </si>
  <si>
    <t xml:space="preserve">induced-surge protection</t>
  </si>
  <si>
    <t xml:space="preserve">digital signature on data</t>
  </si>
  <si>
    <t xml:space="preserve">data trust → all</t>
  </si>
  <si>
    <t xml:space="preserve">microSD</t>
  </si>
  <si>
    <t xml:space="preserve">on-site raw audio/video storage</t>
  </si>
  <si>
    <t xml:space="preserve">audit archive</t>
  </si>
  <si>
    <t xml:space="preserve">precise clock</t>
  </si>
  <si>
    <t xml:space="preserve">connecting board</t>
  </si>
  <si>
    <t xml:space="preserve">waterproof connectors</t>
  </si>
  <si>
    <t xml:space="preserve">Outdoor cable (20–40m)</t>
  </si>
  <si>
    <t xml:space="preserve">panel/camera-to-station cabling</t>
  </si>
  <si>
    <t xml:space="preserve">Conduit + mounts</t>
  </si>
  <si>
    <t xml:space="preserve">cable protection along tree</t>
  </si>
  <si>
    <t xml:space="preserve">LoRa radio SX1276 + RF pigtail</t>
  </si>
  <si>
    <t xml:space="preserve">Hub backhaul (hears ECHO, sends to gateway)</t>
  </si>
  <si>
    <t xml:space="preserve">Collinear antenna @10–15m + coax</t>
  </si>
  <si>
    <t xml:space="preserve">elevated antenna (height = RF range)</t>
  </si>
  <si>
    <t xml:space="preserve">GPS module + patch antenna</t>
  </si>
  <si>
    <t xml:space="preserve">disciplines clock, mesh sync</t>
  </si>
  <si>
    <t xml:space="preserve">time trust → all</t>
  </si>
  <si>
    <t xml:space="preserve">In-line coax surge arrestor</t>
  </si>
  <si>
    <t xml:space="preserve">antenna-feed lightning protection</t>
  </si>
  <si>
    <t xml:space="preserve">Supercap on radio rail</t>
  </si>
  <si>
    <t xml:space="preserve">smooths transmit current peaks</t>
  </si>
  <si>
    <t xml:space="preserve">HYDRO mini-node — wet strata only (aguajal/igapó/várzea)</t>
  </si>
  <si>
    <t xml:space="preserve">ESP32-S3 microcontroller</t>
  </si>
  <si>
    <t xml:space="preserve">hydro-node brain</t>
  </si>
  <si>
    <t xml:space="preserve">Water-level / pressure transducer (piezometer)</t>
  </si>
  <si>
    <t xml:space="preserve">ground/well water level — when &amp; how deep it floods</t>
  </si>
  <si>
    <t xml:space="preserve">Turbidity + EC probe (optional)</t>
  </si>
  <si>
    <t xml:space="preserve">water turbidity &amp; conductivity</t>
  </si>
  <si>
    <t xml:space="preserve">Water Benefit</t>
  </si>
  <si>
    <t xml:space="preserve">LoRa SX1276 + antenna</t>
  </si>
  <si>
    <t xml:space="preserve">wireless data link</t>
  </si>
  <si>
    <t xml:space="preserve">LiFePO₄ 2×18650 + MPPT</t>
  </si>
  <si>
    <t xml:space="preserve">battery + charge control</t>
  </si>
  <si>
    <t xml:space="preserve">5W solar + yoke</t>
  </si>
  <si>
    <t xml:space="preserve">IP67 enclosure + Gore + sunshade</t>
  </si>
  <si>
    <t xml:space="preserve">PCB + cable + conduit + M12</t>
  </si>
  <si>
    <t xml:space="preserve">board, cabling, connectors</t>
  </si>
  <si>
    <t xml:space="preserve">RTC + ATECC608A</t>
  </si>
  <si>
    <t xml:space="preserve">clock + data signature</t>
  </si>
  <si>
    <t xml:space="preserve">NEXUS-Core — Tier-3 reference station (~1 / 80 ha)</t>
  </si>
  <si>
    <t xml:space="preserve">Jetson Orin Nano Super</t>
  </si>
  <si>
    <t xml:space="preserve">most powerful edge AI — full video/audio processing</t>
  </si>
  <si>
    <t xml:space="preserve">calibration truth → all</t>
  </si>
  <si>
    <t xml:space="preserve">NVMe SSD</t>
  </si>
  <si>
    <t xml:space="preserve">fast storage for large raw data</t>
  </si>
  <si>
    <t xml:space="preserve">audit/calibration archive</t>
  </si>
  <si>
    <t xml:space="preserve">Island MCU</t>
  </si>
  <si>
    <t xml:space="preserve">always-on low-power chip</t>
  </si>
  <si>
    <t xml:space="preserve">IMX219 camera ×4</t>
  </si>
  <si>
    <t xml:space="preserve">crown, structure, flowering, fauna (4 angles)</t>
  </si>
  <si>
    <t xml:space="preserve">Verra, VSV, SEEA</t>
  </si>
  <si>
    <t xml:space="preserve">night imaging</t>
  </si>
  <si>
    <t xml:space="preserve">Phenocam (fixed-FOV + grey card)</t>
  </si>
  <si>
    <t xml:space="preserve">daily canopy phenology (greening/flowering)</t>
  </si>
  <si>
    <t xml:space="preserve">SEEA-condition, Verra</t>
  </si>
  <si>
    <t xml:space="preserve">INMP441 microphone array ×4</t>
  </si>
  <si>
    <t xml:space="preserve">sound + direction-of-arrival (where logging is)</t>
  </si>
  <si>
    <t xml:space="preserve">PVN, VSV, REDD</t>
  </si>
  <si>
    <t xml:space="preserve">Ultrasonic mic 384 kHz</t>
  </si>
  <si>
    <t xml:space="preserve">neotropical bats</t>
  </si>
  <si>
    <t xml:space="preserve">RS485 industrial soil probe ×5</t>
  </si>
  <si>
    <t xml:space="preserve">full soil profile (moisture/EC/pH/temp)</t>
  </si>
  <si>
    <t xml:space="preserve">VM0042, SEEA-condition/water</t>
  </si>
  <si>
    <t xml:space="preserve">MAX485 RS485 isolated</t>
  </si>
  <si>
    <t xml:space="preserve">soil-probe interface</t>
  </si>
  <si>
    <t xml:space="preserve">analog→digital</t>
  </si>
  <si>
    <t xml:space="preserve">MLX90614 IR-temperature</t>
  </si>
  <si>
    <t xml:space="preserve">non-contact surface temperature</t>
  </si>
  <si>
    <t xml:space="preserve">SEEA-condition</t>
  </si>
  <si>
    <t xml:space="preserve">SCD40 CO₂</t>
  </si>
  <si>
    <t xml:space="preserve">soil respiration</t>
  </si>
  <si>
    <t xml:space="preserve">BME688 VOC</t>
  </si>
  <si>
    <t xml:space="preserve">air quality (plant-stress VOCs)</t>
  </si>
  <si>
    <t xml:space="preserve">CH₄ sensor (aguajal)</t>
  </si>
  <si>
    <t xml:space="preserve">methane — critical on peat (strong GHG)</t>
  </si>
  <si>
    <t xml:space="preserve">VM0048, SEEA-carbon</t>
  </si>
  <si>
    <t xml:space="preserve">Water-table piezometer</t>
  </si>
  <si>
    <t xml:space="preserve">ground water level — flood timing/depth</t>
  </si>
  <si>
    <t xml:space="preserve">Band dendrometer ×3 (high-precision)</t>
  </si>
  <si>
    <t xml:space="preserve">tree growth (multiple stems)</t>
  </si>
  <si>
    <t xml:space="preserve">animal/human motion</t>
  </si>
  <si>
    <t xml:space="preserve">leaf-litterfall mass</t>
  </si>
  <si>
    <t xml:space="preserve">12V 100Ah LiFePO₄ + BMS</t>
  </si>
  <si>
    <t xml:space="preserve">large station battery</t>
  </si>
  <si>
    <t xml:space="preserve">MPPT charge controller</t>
  </si>
  <si>
    <t xml:space="preserve">Solar array 60–80W (multi-gap)</t>
  </si>
  <si>
    <t xml:space="preserve">power to canopy gaps</t>
  </si>
  <si>
    <t xml:space="preserve">IP67 instrument cabinet</t>
  </si>
  <si>
    <t xml:space="preserve">sealed instrument cabinet</t>
  </si>
  <si>
    <t xml:space="preserve">IP67 junction box + pods</t>
  </si>
  <si>
    <t xml:space="preserve">sensor housings</t>
  </si>
  <si>
    <t xml:space="preserve">Gore vent + desiccant ×3</t>
  </si>
  <si>
    <t xml:space="preserve">Dew-point heater (Peltier)</t>
  </si>
  <si>
    <t xml:space="preserve">keeps camera optics from fogging</t>
  </si>
  <si>
    <t xml:space="preserve">image quality</t>
  </si>
  <si>
    <t xml:space="preserve">Mast + full SPD coordination</t>
  </si>
  <si>
    <t xml:space="preserve">mast + lightning protection</t>
  </si>
  <si>
    <t xml:space="preserve">Air terminal + ground rod &lt;10Ω</t>
  </si>
  <si>
    <t xml:space="preserve">grounded lightning rod</t>
  </si>
  <si>
    <t xml:space="preserve">raw-data storage</t>
  </si>
  <si>
    <t xml:space="preserve">Outdoor cable (40–80m)</t>
  </si>
  <si>
    <t xml:space="preserve">cabling for panels/cameras/5 soil probes</t>
  </si>
  <si>
    <t xml:space="preserve">cable protection scaffold</t>
  </si>
  <si>
    <t xml:space="preserve">Core backhaul to gateway</t>
  </si>
  <si>
    <t xml:space="preserve">elevated antenna + cable</t>
  </si>
  <si>
    <t xml:space="preserve">disciplines clock</t>
  </si>
  <si>
    <t xml:space="preserve">smooths transmit current</t>
  </si>
  <si>
    <t xml:space="preserve">RS485 terminators 120Ω + bias</t>
  </si>
  <si>
    <t xml:space="preserve">terminates 5-probe soil bus (avoids errors)</t>
  </si>
  <si>
    <t xml:space="preserve">NODE OpEx (annual, per node by tier — calculated from BASE)</t>
  </si>
  <si>
    <t xml:space="preserve">ECHO — attrition replacement + maintenance + connectivity</t>
  </si>
  <si>
    <t xml:space="preserve">15% × BASE + field visits + LoRa-gateway share</t>
  </si>
  <si>
    <t xml:space="preserve">Hub — attrition replacement + maintenance + connectivity</t>
  </si>
  <si>
    <t xml:space="preserve">10% × BASE + field visits + LoRa-gateway share</t>
  </si>
  <si>
    <t xml:space="preserve">HYDRO — attrition replacement + maintenance + connectivity</t>
  </si>
  <si>
    <t xml:space="preserve">Core — attrition replacement + maintenance + connectivity</t>
  </si>
  <si>
    <t xml:space="preserve">eDNA — Cost Center (OpEx per sample only)</t>
  </si>
  <si>
    <t xml:space="preserve">All eDNA CapEx (own lab, 16k reference library, Nagoya/ABS, voucher collection) is capitalised in ROOT (A_ROOT_CostCenter, blocks F4 + eDNA-16k). Here = recurring cost per SAMPLE. Samples/ha applied later per product (density rules).</t>
  </si>
  <si>
    <t xml:space="preserve">Cost line</t>
  </si>
  <si>
    <t xml:space="preserve">What it covers</t>
  </si>
  <si>
    <t xml:space="preserve">$ / sample</t>
  </si>
  <si>
    <t xml:space="preserve">Sample collection (field crew, boats, permits)</t>
  </si>
  <si>
    <t xml:space="preserve">collecting one water/soil eDNA sample</t>
  </si>
  <si>
    <t xml:space="preserve">$40–120</t>
  </si>
  <si>
    <t xml:space="preserve">Sequencing (own A3 lab, marginal reagents)</t>
  </si>
  <si>
    <t xml:space="preserve">Illumina MiSeq run per sample</t>
  </si>
  <si>
    <t xml:space="preserve">$20–65</t>
  </si>
  <si>
    <t xml:space="preserve">Chain-of-custody (VVB-grade)</t>
  </si>
  <si>
    <t xml:space="preserve">tamper-evident sample provenance</t>
  </si>
  <si>
    <t xml:space="preserve">$70–200</t>
  </si>
  <si>
    <t xml:space="preserve">Bioinformatics / QC (per-batch share)</t>
  </si>
  <si>
    <t xml:space="preserve">reads → taxa assignment</t>
  </si>
  <si>
    <t xml:space="preserve">$5–15</t>
  </si>
  <si>
    <t xml:space="preserve">Cost-to-serve per sample (turnkey-equivalent)</t>
  </si>
  <si>
    <t xml:space="preserve">low / high range</t>
  </si>
  <si>
    <t xml:space="preserve">$135–400</t>
  </si>
  <si>
    <t xml:space="preserve">➤ BASE — taken for financial model (drives eDNA OpEx)</t>
  </si>
  <si>
    <t xml:space="preserve">$200 / sample</t>
  </si>
  <si>
    <t xml:space="preserve">Applies to IS3-bio tier and IS5 only (products that require new sampling). NOT in IS1 / IS2.</t>
  </si>
  <si>
    <t xml:space="preserve">DEPRECIATION SCHEDULE — Platform &amp; ROOT CapEx (IAS-20)</t>
  </si>
  <si>
    <t xml:space="preserve">The $19.3M platform/ROOT build, capitalized &amp; depreciated straight-line. Two treatments: GRANT case (base) nets the grant against the asset → D&amp;A≈0; NO-GRANT case capitalizes at full cost → the schedule below flows to P&amp;L Scenario B.</t>
  </si>
  <si>
    <t xml:space="preserve">Useful life (years)</t>
  </si>
  <si>
    <t xml:space="preserve">CapEx placed in service (= build)</t>
  </si>
  <si>
    <t xml:space="preserve">Cumulative capitalized</t>
  </si>
  <si>
    <t xml:space="preserve">ANNUAL DEPRECIATION — NO-GRANT (straight-line)</t>
  </si>
  <si>
    <t xml:space="preserve">  2027 tranche (=B7)</t>
  </si>
  <si>
    <t xml:space="preserve">  2028 tranche (=C7)</t>
  </si>
  <si>
    <t xml:space="preserve">  2029 tranche (=D7)</t>
  </si>
  <si>
    <t xml:space="preserve">  2030 tranche (=E7)</t>
  </si>
  <si>
    <t xml:space="preserve">Σ Annual D&amp;A (no-grant) → P&amp;L Scenario B</t>
  </si>
  <si>
    <t xml:space="preserve">Accumulated depreciation</t>
  </si>
  <si>
    <t xml:space="preserve">Net book value (no-grant)</t>
  </si>
  <si>
    <t xml:space="preserve">GRANT case (base) — IAS-20 net-of-grant → D&amp;A</t>
  </si>
  <si>
    <t xml:space="preserve">⚠ IAS-20 treatment (net-of-asset vs deferred-income) pending IFRS-auditor confirmation. Base case = grant nets the asset to ~0 carrying value (why base EBITDA = EBIT). No-grant = full capitalization, the ramp above (2027 $0.46M → 2030 $2.41M → 2035 $1.95M as the 2027 tranche fully depreciates).</t>
  </si>
  <si>
    <t xml:space="preserve">DOWNSIDE / STRESS TEST — vs base case (US$)</t>
  </si>
  <si>
    <t xml:space="preserve">What if adoption is slower, prices soften, costs overrun, and the grant slips? Flex the blue haircuts. The live statements stay on base; this is the parallel stress view.</t>
  </si>
  <si>
    <t xml:space="preserve">Adoption haircut (volumes)</t>
  </si>
  <si>
    <t xml:space="preserve">Price haircut</t>
  </si>
  <si>
    <t xml:space="preserve">Cost overrun</t>
  </si>
  <si>
    <t xml:space="preserve">Grant: 1 = on time · 2 = slips → no-grant path</t>
  </si>
  <si>
    <t xml:space="preserve">Base revenue</t>
  </si>
  <si>
    <t xml:space="preserve">Downside revenue</t>
  </si>
  <si>
    <t xml:space="preserve">Base EBITDA</t>
  </si>
  <si>
    <t xml:space="preserve">Downside EBITDA</t>
  </si>
  <si>
    <t xml:space="preserve">Δ EBITDA (downside − base)</t>
  </si>
  <si>
    <t xml:space="preserve">Cumulative downside EBITDA (operating trough)</t>
  </si>
  <si>
    <t xml:space="preserve">STRESS VERDICT</t>
  </si>
  <si>
    <t xml:space="preserve">Revenue 2035 — base → downside</t>
  </si>
  <si>
    <t xml:space="preserve">EBITDA 2035 — base → downside</t>
  </si>
  <si>
    <t xml:space="preserve">EBITDA margin 2035 — downside</t>
  </si>
  <si>
    <t xml:space="preserve">Max operating bridge (deepest downside trough)</t>
  </si>
  <si>
    <t xml:space="preserve">If grant slips → founders %</t>
  </si>
  <si>
    <t xml:space="preserve">Read: even at −44% revenue (30% slower adoption × 20% price) and +15% cost overrun, EBITDA 2035 stays clearly positive (~$24.8M, 41% margin). The downside business is cash-negative only in 2027–28; its deepest operating trough is ~$3–4M — a SMALL bridge, covered by concession-carbon cash + lean burn. If the grant slips, the no-grant path applies — founders dilute to ~49% but keep control via debt. The model survives the stress.</t>
  </si>
  <si>
    <t xml:space="preserve">DEBT SCHEDULE — Scenario B (no-grant ROOT via concessional debt)</t>
  </si>
  <si>
    <t xml:space="preserve">If the grant slips, the $19.3M ROOT build is funded by concessional MDB debt instead of equity — preserving founder control. Drawdown tracks the build; grace during build, then amortised. Inputs (blue) flex.</t>
  </si>
  <si>
    <t xml:space="preserve">Interest rate (concessional)</t>
  </si>
  <si>
    <t xml:space="preserve">Grace through year (interest-only)</t>
  </si>
  <si>
    <t xml:space="preserve">Repayment years</t>
  </si>
  <si>
    <t xml:space="preserve">Total principal (= cumulative drawdown)</t>
  </si>
  <si>
    <t xml:space="preserve">Opening balance</t>
  </si>
  <si>
    <t xml:space="preserve">  + Drawdown (build)</t>
  </si>
  <si>
    <t xml:space="preserve">  Interest accrued</t>
  </si>
  <si>
    <t xml:space="preserve">  − Principal repayment</t>
  </si>
  <si>
    <t xml:space="preserve">Closing balance</t>
  </si>
  <si>
    <t xml:space="preserve">Debt service (interest + principal)</t>
  </si>
  <si>
    <t xml:space="preserve">Memo: EBITDA (no-grant)</t>
  </si>
  <si>
    <t xml:space="preserve">Interest-coverage (EBITDA ÷ debt service)</t>
  </si>
  <si>
    <t xml:space="preserve">Read: drawn alongside the build (grace = interest-only through 2030), then amortised over 5 years. Even at the trough, EBITDA covers debt service many times over (coverage ≫ 1×) — the debt is comfortably serviceable from operating cash, which is why no-grant preserves control without extra equity. ⚠ Concessional terms (rate/tenor) indicative, pending MDB term sheet.</t>
  </si>
</sst>
</file>

<file path=xl/styles.xml><?xml version="1.0" encoding="utf-8"?>
<styleSheet xmlns="http://schemas.openxmlformats.org/spreadsheetml/2006/main">
  <numFmts count="18">
    <numFmt numFmtId="164" formatCode="General"/>
    <numFmt numFmtId="165" formatCode="\$#,##0,,\M;[RED]&quot;-$&quot;#,##0,,\M"/>
    <numFmt numFmtId="166" formatCode="0%"/>
    <numFmt numFmtId="167" formatCode="\$#,##0.0,,\M"/>
    <numFmt numFmtId="168" formatCode="\$#,##0,,,\B"/>
    <numFmt numFmtId="169" formatCode="0"/>
    <numFmt numFmtId="170" formatCode="\$#,##0,,\M"/>
    <numFmt numFmtId="171" formatCode="\$#,##0;[RED]&quot;-$&quot;#,##0"/>
    <numFmt numFmtId="172" formatCode="#,##0"/>
    <numFmt numFmtId="173" formatCode="\$#,##0.0000"/>
    <numFmt numFmtId="174" formatCode="\$0.00"/>
    <numFmt numFmtId="175" formatCode="0.0%"/>
    <numFmt numFmtId="176" formatCode="0\x"/>
    <numFmt numFmtId="177" formatCode="0.0\×"/>
    <numFmt numFmtId="178" formatCode="#,##0;[RED]\-#,##0"/>
    <numFmt numFmtId="179" formatCode="0.0"/>
    <numFmt numFmtId="180" formatCode="#,##0.00;[RED]\-#,##0.00"/>
    <numFmt numFmtId="181" formatCode="#,##0.0"/>
  </numFmts>
  <fonts count="8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D8A7E"/>
      <name val="Inter"/>
      <family val="0"/>
      <charset val="1"/>
    </font>
    <font>
      <sz val="12"/>
      <color rgb="FF1C2A29"/>
      <name val="Inter"/>
      <family val="0"/>
      <charset val="1"/>
    </font>
    <font>
      <i val="true"/>
      <sz val="9"/>
      <color rgb="FF595959"/>
      <name val="Inter"/>
      <family val="0"/>
      <charset val="1"/>
    </font>
    <font>
      <b val="true"/>
      <sz val="8"/>
      <color rgb="FFFFFFFF"/>
      <name val="Inter"/>
      <family val="0"/>
      <charset val="1"/>
    </font>
    <font>
      <b val="true"/>
      <sz val="17"/>
      <color rgb="FFFFFFFF"/>
      <name val="Inter"/>
      <family val="0"/>
      <charset val="1"/>
    </font>
    <font>
      <b val="true"/>
      <sz val="9"/>
      <color rgb="FF1D8A7E"/>
      <name val="Inter"/>
      <family val="0"/>
      <charset val="1"/>
    </font>
    <font>
      <sz val="8"/>
      <color rgb="FF595959"/>
      <name val="Inter"/>
      <family val="0"/>
      <charset val="1"/>
    </font>
    <font>
      <b val="true"/>
      <sz val="12"/>
      <color rgb="FF1D8A7E"/>
      <name val="Inter"/>
      <family val="0"/>
      <charset val="1"/>
    </font>
    <font>
      <b val="true"/>
      <sz val="12"/>
      <color rgb="FFFFFFFF"/>
      <name val="Inter"/>
      <family val="0"/>
      <charset val="1"/>
    </font>
    <font>
      <b val="true"/>
      <sz val="10"/>
      <color rgb="FF1D8A7E"/>
      <name val="Inter"/>
      <family val="0"/>
      <charset val="1"/>
    </font>
    <font>
      <sz val="9"/>
      <color rgb="FF1C2A29"/>
      <name val="Inter"/>
      <family val="0"/>
      <charset val="1"/>
    </font>
    <font>
      <b val="true"/>
      <sz val="15"/>
      <color rgb="FF1D8A7E"/>
      <name val="Inter"/>
      <family val="0"/>
      <charset val="1"/>
    </font>
    <font>
      <b val="true"/>
      <sz val="11"/>
      <color rgb="FFFFFFFF"/>
      <name val="Inter"/>
      <family val="0"/>
      <charset val="1"/>
    </font>
    <font>
      <sz val="10"/>
      <color rgb="FF1C2A29"/>
      <name val="Inter"/>
      <family val="0"/>
      <charset val="1"/>
    </font>
    <font>
      <b val="true"/>
      <sz val="11"/>
      <color rgb="FF1D8A7E"/>
      <name val="Inter"/>
      <family val="0"/>
      <charset val="1"/>
    </font>
    <font>
      <b val="true"/>
      <sz val="10"/>
      <color rgb="FFFFFFFF"/>
      <name val="Inter"/>
      <family val="0"/>
      <charset val="1"/>
    </font>
    <font>
      <b val="true"/>
      <sz val="11"/>
      <color rgb="FF1F4E78"/>
      <name val="Inter"/>
      <family val="0"/>
      <charset val="1"/>
    </font>
    <font>
      <i val="true"/>
      <sz val="8"/>
      <color rgb="FF595959"/>
      <name val="Inter"/>
      <family val="0"/>
      <charset val="1"/>
    </font>
    <font>
      <i val="true"/>
      <sz val="9"/>
      <color rgb="FF1D8A7E"/>
      <name val="Inter"/>
      <family val="0"/>
      <charset val="1"/>
    </font>
    <font>
      <b val="true"/>
      <sz val="10"/>
      <color rgb="FF1C2A29"/>
      <name val="Inter"/>
      <family val="0"/>
      <charset val="1"/>
    </font>
    <font>
      <b val="true"/>
      <sz val="9"/>
      <color rgb="FFFFFFFF"/>
      <name val="Inter"/>
      <family val="0"/>
      <charset val="1"/>
    </font>
    <font>
      <sz val="8"/>
      <color rgb="FFBFBFBF"/>
      <name val="Inter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4"/>
      <color rgb="FF1D8A7E"/>
      <name val="Inter"/>
      <family val="0"/>
      <charset val="1"/>
    </font>
    <font>
      <sz val="11"/>
      <color rgb="FF1C2A29"/>
      <name val="Inter"/>
      <family val="0"/>
      <charset val="1"/>
    </font>
    <font>
      <sz val="9"/>
      <color rgb="FF808080"/>
      <name val="Inter"/>
      <family val="0"/>
      <charset val="1"/>
    </font>
    <font>
      <b val="true"/>
      <sz val="9"/>
      <color rgb="FF1C2A29"/>
      <name val="Inter"/>
      <family val="0"/>
      <charset val="1"/>
    </font>
    <font>
      <sz val="10"/>
      <color rgb="FF974706"/>
      <name val="Inter"/>
      <family val="0"/>
      <charset val="1"/>
    </font>
    <font>
      <sz val="9"/>
      <color rgb="FF595959"/>
      <name val="Inter"/>
      <family val="0"/>
      <charset val="1"/>
    </font>
    <font>
      <sz val="10"/>
      <color rgb="FF1D8A7E"/>
      <name val="Inter"/>
      <family val="0"/>
      <charset val="1"/>
    </font>
    <font>
      <sz val="9"/>
      <color rgb="FFB7791F"/>
      <name val="Inter"/>
      <family val="0"/>
      <charset val="1"/>
    </font>
    <font>
      <b val="true"/>
      <sz val="10"/>
      <color rgb="FF1F4E78"/>
      <name val="Inter"/>
      <family val="0"/>
      <charset val="1"/>
    </font>
    <font>
      <i val="true"/>
      <sz val="9"/>
      <color rgb="FF974706"/>
      <name val="Inter"/>
      <family val="0"/>
      <charset val="1"/>
    </font>
    <font>
      <b val="true"/>
      <sz val="10"/>
      <color rgb="FF974706"/>
      <name val="Inter"/>
      <family val="0"/>
      <charset val="1"/>
    </font>
    <font>
      <b val="true"/>
      <sz val="9"/>
      <color rgb="FF13746F"/>
      <name val="Inter"/>
      <family val="0"/>
      <charset val="1"/>
    </font>
    <font>
      <i val="true"/>
      <sz val="8"/>
      <color rgb="FFB7791F"/>
      <name val="Inter"/>
      <family val="0"/>
      <charset val="1"/>
    </font>
    <font>
      <b val="true"/>
      <sz val="9"/>
      <color rgb="FF974706"/>
      <name val="Inter"/>
      <family val="0"/>
      <charset val="1"/>
    </font>
    <font>
      <i val="true"/>
      <sz val="9"/>
      <color rgb="FF808080"/>
      <name val="Inter"/>
      <family val="0"/>
      <charset val="1"/>
    </font>
    <font>
      <b val="true"/>
      <sz val="9"/>
      <color rgb="FF0E5C5B"/>
      <name val="Inter"/>
      <family val="0"/>
      <charset val="1"/>
    </font>
    <font>
      <sz val="9.5"/>
      <color rgb="FF8A4B00"/>
      <name val="Inter"/>
      <family val="0"/>
      <charset val="1"/>
    </font>
    <font>
      <b val="true"/>
      <sz val="9.5"/>
      <color rgb="FFFFFFFF"/>
      <name val="Inter"/>
      <family val="0"/>
      <charset val="1"/>
    </font>
    <font>
      <sz val="9.5"/>
      <color rgb="FF8A6D00"/>
      <name val="Inter"/>
      <family val="0"/>
      <charset val="1"/>
    </font>
    <font>
      <b val="true"/>
      <sz val="9.5"/>
      <color rgb="FF1D8A7E"/>
      <name val="Inter"/>
      <family val="0"/>
      <charset val="1"/>
    </font>
    <font>
      <b val="true"/>
      <sz val="10"/>
      <color rgb="FF8A6D00"/>
      <name val="Inter"/>
      <family val="0"/>
      <charset val="1"/>
    </font>
    <font>
      <i val="true"/>
      <sz val="9"/>
      <color rgb="FFC0392B"/>
      <name val="Inter"/>
      <family val="0"/>
      <charset val="1"/>
    </font>
    <font>
      <b val="true"/>
      <sz val="10"/>
      <color rgb="FF0A4544"/>
      <name val="Inter"/>
      <family val="0"/>
      <charset val="1"/>
    </font>
    <font>
      <i val="true"/>
      <sz val="9"/>
      <color rgb="FF13746F"/>
      <name val="Inter"/>
      <family val="0"/>
      <charset val="1"/>
    </font>
    <font>
      <b val="true"/>
      <sz val="10"/>
      <color rgb="FFE67E22"/>
      <name val="Inter"/>
      <family val="0"/>
      <charset val="1"/>
    </font>
    <font>
      <b val="true"/>
      <sz val="13"/>
      <color rgb="FFFFFFFF"/>
      <name val="Inter"/>
      <family val="0"/>
      <charset val="1"/>
    </font>
    <font>
      <i val="true"/>
      <sz val="9"/>
      <color rgb="FFFFFFFF"/>
      <name val="Inter"/>
      <family val="0"/>
      <charset val="1"/>
    </font>
    <font>
      <b val="true"/>
      <sz val="11"/>
      <color rgb="FF1C2A29"/>
      <name val="Inter"/>
      <family val="0"/>
      <charset val="1"/>
    </font>
    <font>
      <b val="true"/>
      <sz val="9"/>
      <color rgb="FF1F4E78"/>
      <name val="Inter"/>
      <family val="0"/>
      <charset val="1"/>
    </font>
    <font>
      <b val="true"/>
      <sz val="9"/>
      <color rgb="FF1E7D45"/>
      <name val="Inter"/>
      <family val="0"/>
      <charset val="1"/>
    </font>
    <font>
      <sz val="9"/>
      <color rgb="FF888888"/>
      <name val="Inter"/>
      <family val="0"/>
      <charset val="1"/>
    </font>
    <font>
      <b val="true"/>
      <sz val="9"/>
      <color rgb="FF888888"/>
      <name val="Inter"/>
      <family val="0"/>
      <charset val="1"/>
    </font>
    <font>
      <b val="true"/>
      <sz val="9"/>
      <color rgb="FFC0392B"/>
      <name val="Inter"/>
      <family val="0"/>
      <charset val="1"/>
    </font>
    <font>
      <b val="true"/>
      <sz val="9"/>
      <color rgb="FFB7791F"/>
      <name val="Inter"/>
      <family val="0"/>
      <charset val="1"/>
    </font>
    <font>
      <sz val="8"/>
      <color rgb="FF1C2A29"/>
      <name val="Inter"/>
      <family val="0"/>
      <charset val="1"/>
    </font>
    <font>
      <sz val="8"/>
      <color rgb="FF999999"/>
      <name val="Inter"/>
      <family val="0"/>
      <charset val="1"/>
    </font>
    <font>
      <b val="true"/>
      <sz val="10"/>
      <color rgb="FFC0392B"/>
      <name val="Inter"/>
      <family val="0"/>
      <charset val="1"/>
    </font>
    <font>
      <b val="true"/>
      <sz val="11"/>
      <color rgb="FFC0392B"/>
      <name val="Inter"/>
      <family val="0"/>
      <charset val="1"/>
    </font>
    <font>
      <b val="true"/>
      <sz val="9"/>
      <color rgb="FF595959"/>
      <name val="Inter"/>
      <family val="0"/>
      <charset val="1"/>
    </font>
    <font>
      <i val="true"/>
      <sz val="8"/>
      <color rgb="FF13746F"/>
      <name val="Inter"/>
      <family val="0"/>
      <charset val="1"/>
    </font>
    <font>
      <b val="true"/>
      <sz val="8"/>
      <color rgb="FF1E7D45"/>
      <name val="Inter"/>
      <family val="0"/>
      <charset val="1"/>
    </font>
    <font>
      <b val="true"/>
      <sz val="8"/>
      <color rgb="FFB7791F"/>
      <name val="Inter"/>
      <family val="0"/>
      <charset val="1"/>
    </font>
    <font>
      <b val="true"/>
      <sz val="8"/>
      <color rgb="FF888888"/>
      <name val="Inter"/>
      <family val="0"/>
      <charset val="1"/>
    </font>
    <font>
      <b val="true"/>
      <i val="true"/>
      <sz val="8"/>
      <color rgb="FFB7791F"/>
      <name val="Inter"/>
      <family val="0"/>
      <charset val="1"/>
    </font>
    <font>
      <b val="true"/>
      <sz val="8"/>
      <color rgb="FF1D8A7E"/>
      <name val="Inter"/>
      <family val="0"/>
      <charset val="1"/>
    </font>
    <font>
      <b val="true"/>
      <sz val="8"/>
      <color rgb="FFE67E22"/>
      <name val="Inter"/>
      <family val="0"/>
      <charset val="1"/>
    </font>
    <font>
      <sz val="9"/>
      <color rgb="FF404040"/>
      <name val="Inter"/>
      <family val="0"/>
      <charset val="1"/>
    </font>
    <font>
      <b val="true"/>
      <sz val="12"/>
      <color rgb="FF1C2A29"/>
      <name val="Inter"/>
      <family val="0"/>
      <charset val="1"/>
    </font>
    <font>
      <sz val="9.5"/>
      <color rgb="FF1C2A29"/>
      <name val="Inter"/>
      <family val="0"/>
      <charset val="1"/>
    </font>
    <font>
      <b val="true"/>
      <sz val="11"/>
      <color rgb="FFB3261E"/>
      <name val="Inter"/>
      <family val="0"/>
      <charset val="1"/>
    </font>
    <font>
      <b val="true"/>
      <sz val="10"/>
      <color rgb="FFB3261E"/>
      <name val="Inter"/>
      <family val="0"/>
      <charset val="1"/>
    </font>
    <font>
      <b val="true"/>
      <sz val="11"/>
      <color rgb="FF974706"/>
      <name val="Inter"/>
      <family val="0"/>
      <charset val="1"/>
    </font>
    <font>
      <b val="true"/>
      <sz val="10"/>
      <color rgb="FFB7791F"/>
      <name val="Inter"/>
      <family val="0"/>
      <charset val="1"/>
    </font>
  </fonts>
  <fills count="21">
    <fill>
      <patternFill patternType="none"/>
    </fill>
    <fill>
      <patternFill patternType="gray125"/>
    </fill>
    <fill>
      <patternFill patternType="solid">
        <fgColor rgb="FF1D8A7E"/>
        <bgColor rgb="FF13746F"/>
      </patternFill>
    </fill>
    <fill>
      <patternFill patternType="solid">
        <fgColor rgb="FF13746F"/>
        <bgColor rgb="FF1E7D45"/>
      </patternFill>
    </fill>
    <fill>
      <patternFill patternType="solid">
        <fgColor rgb="FFF0F7F6"/>
        <bgColor rgb="FFF2F2F2"/>
      </patternFill>
    </fill>
    <fill>
      <patternFill patternType="solid">
        <fgColor rgb="FFDCEFEC"/>
        <bgColor rgb="FFE2E8E7"/>
      </patternFill>
    </fill>
    <fill>
      <patternFill patternType="solid">
        <fgColor rgb="FFFCE4D6"/>
        <bgColor rgb="FFFCE8D5"/>
      </patternFill>
    </fill>
    <fill>
      <patternFill patternType="solid">
        <fgColor rgb="FFFFF2CC"/>
        <bgColor rgb="FFFBF0DC"/>
      </patternFill>
    </fill>
    <fill>
      <patternFill patternType="solid">
        <fgColor rgb="FFB7791F"/>
        <bgColor rgb="FFE67E22"/>
      </patternFill>
    </fill>
    <fill>
      <patternFill patternType="solid">
        <fgColor rgb="FFFBF0DC"/>
        <bgColor rgb="FFFFF2CC"/>
      </patternFill>
    </fill>
    <fill>
      <patternFill patternType="solid">
        <fgColor rgb="FFC8E8E4"/>
        <bgColor rgb="FFC6E0DF"/>
      </patternFill>
    </fill>
    <fill>
      <patternFill patternType="solid">
        <fgColor rgb="FFC0392B"/>
        <bgColor rgb="FFB3261E"/>
      </patternFill>
    </fill>
    <fill>
      <patternFill patternType="solid">
        <fgColor rgb="FFE67E22"/>
        <bgColor rgb="FFB7791F"/>
      </patternFill>
    </fill>
    <fill>
      <patternFill patternType="solid">
        <fgColor rgb="FF7D6608"/>
        <bgColor rgb="FF8A6D00"/>
      </patternFill>
    </fill>
    <fill>
      <patternFill patternType="solid">
        <fgColor rgb="FFD6E4E3"/>
        <bgColor rgb="FFE2E8E7"/>
      </patternFill>
    </fill>
    <fill>
      <patternFill patternType="solid">
        <fgColor rgb="FFC6E0DF"/>
        <bgColor rgb="FFC8E8E4"/>
      </patternFill>
    </fill>
    <fill>
      <patternFill patternType="solid">
        <fgColor rgb="FFFCE8D5"/>
        <bgColor rgb="FFFCE4D6"/>
      </patternFill>
    </fill>
    <fill>
      <patternFill patternType="solid">
        <fgColor rgb="FF2BAD9F"/>
        <bgColor rgb="FF1D8A7E"/>
      </patternFill>
    </fill>
    <fill>
      <patternFill patternType="solid">
        <fgColor rgb="FFF8D7DA"/>
        <bgColor rgb="FFFCE4D6"/>
      </patternFill>
    </fill>
    <fill>
      <patternFill patternType="solid">
        <fgColor rgb="FFE8F1F0"/>
        <bgColor rgb="FFF2F2F2"/>
      </patternFill>
    </fill>
    <fill>
      <patternFill patternType="solid">
        <fgColor rgb="FFF2F2F2"/>
        <bgColor rgb="FFF0F7F6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/>
      <right/>
      <top style="thin">
        <color rgb="FFD9D9D9"/>
      </top>
      <bottom style="thin">
        <color rgb="FFD9D9D9"/>
      </bottom>
      <diagonal/>
    </border>
    <border diagonalUp="false" diagonalDown="false">
      <left/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  <border diagonalUp="false" diagonalDown="false">
      <left/>
      <right/>
      <top/>
      <bottom style="thin">
        <color rgb="FFE2E8E7"/>
      </bottom>
      <diagonal/>
    </border>
    <border diagonalUp="false" diagonalDown="false">
      <left/>
      <right/>
      <top/>
      <bottom style="thin">
        <color rgb="FFD9D9D9"/>
      </bottom>
      <diagonal/>
    </border>
    <border diagonalUp="false" diagonalDown="false">
      <left style="medium">
        <color rgb="FF974706"/>
      </left>
      <right style="medium">
        <color rgb="FF974706"/>
      </right>
      <top style="medium">
        <color rgb="FF974706"/>
      </top>
      <bottom style="medium">
        <color rgb="FF97470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1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3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23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7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3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0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1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32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3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2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3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71" fontId="32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32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71" fontId="3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32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32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4" fontId="36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32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32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32" fillId="7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7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3" fontId="3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9" fillId="4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4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32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32" fillId="6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32" fillId="6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8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38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3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8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9" fillId="9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9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0" fillId="4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1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2" fontId="3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34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13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71" fontId="13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13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34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3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0" fillId="4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1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1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1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1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7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1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2" fillId="4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3" fontId="17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7" fillId="4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3" fillId="4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1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4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11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9" fillId="1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3" fillId="4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3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6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7" fillId="4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1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48" fillId="7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1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4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9" fillId="4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1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23" fillId="4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50" fillId="15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9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3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3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23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1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2" fillId="1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6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1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6" fontId="13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3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1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3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6" fontId="1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1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3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3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56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5" fontId="5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9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5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5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5" fontId="13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1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6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9" fillId="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14" fillId="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1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71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7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7" fontId="6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3" fillId="4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3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2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6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8" fontId="63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6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8" fontId="6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3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3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9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3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5" fontId="6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5" fontId="6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5" fontId="6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5" fontId="3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9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1" fillId="9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1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17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2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2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3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1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80" fontId="1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5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8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7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32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1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32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32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2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2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3" fillId="1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1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1" fillId="4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81" fontId="32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1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13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1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3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3" fillId="2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9" fillId="7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7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79" fillId="7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1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7" fillId="2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19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80" fillId="9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3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6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6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1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31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7" fontId="1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CE8D5"/>
      <rgbColor rgb="FFFF00FF"/>
      <rgbColor rgb="FFF0F7F6"/>
      <rgbColor rgb="FF8A4B00"/>
      <rgbColor rgb="FF1E7D45"/>
      <rgbColor rgb="FF000080"/>
      <rgbColor rgb="FF8A6D00"/>
      <rgbColor rgb="FF800080"/>
      <rgbColor rgb="FF13746F"/>
      <rgbColor rgb="FFBFBFBF"/>
      <rgbColor rgb="FF808080"/>
      <rgbColor rgb="FF888888"/>
      <rgbColor rgb="FFC0392B"/>
      <rgbColor rgb="FFFFF2CC"/>
      <rgbColor rgb="FFDCEFEC"/>
      <rgbColor rgb="FF660066"/>
      <rgbColor rgb="FFF2F2F2"/>
      <rgbColor rgb="FF0E5C5B"/>
      <rgbColor rgb="FFD9D9D9"/>
      <rgbColor rgb="FF000080"/>
      <rgbColor rgb="FFFF00FF"/>
      <rgbColor rgb="FFE2E8E7"/>
      <rgbColor rgb="FF00FFFF"/>
      <rgbColor rgb="FF800080"/>
      <rgbColor rgb="FF7D6608"/>
      <rgbColor rgb="FF1D8A7E"/>
      <rgbColor rgb="FF0000FF"/>
      <rgbColor rgb="FF00CCFF"/>
      <rgbColor rgb="FFE8F1F0"/>
      <rgbColor rgb="FFC8E8E4"/>
      <rgbColor rgb="FFFBF0DC"/>
      <rgbColor rgb="FF9FE0D6"/>
      <rgbColor rgb="FFFCE4D6"/>
      <rgbColor rgb="FFB3B3B3"/>
      <rgbColor rgb="FFF8D7DA"/>
      <rgbColor rgb="FF3366FF"/>
      <rgbColor rgb="FF5FC9BC"/>
      <rgbColor rgb="FFC6E0DF"/>
      <rgbColor rgb="FFD6E4E3"/>
      <rgbColor rgb="FFB7791F"/>
      <rgbColor rgb="FFE67E22"/>
      <rgbColor rgb="FF595959"/>
      <rgbColor rgb="FF999999"/>
      <rgbColor rgb="FF0A4544"/>
      <rgbColor rgb="FF2BAD9F"/>
      <rgbColor rgb="FF003300"/>
      <rgbColor rgb="FF1C2A29"/>
      <rgbColor rgb="FF974706"/>
      <rgbColor rgb="FFB3261E"/>
      <rgbColor rgb="FF1F4E78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_rels/chart4.xml.rels><?xml version="1.0" encoding="UTF-8"?>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Revenue ramp by stream ($)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'01 Dashboard'!A63</c:f>
              <c:strCache>
                <c:ptCount val="1"/>
                <c:pt idx="0">
                  <c:v>IS1</c:v>
                </c:pt>
              </c:strCache>
            </c:strRef>
          </c:tx>
          <c:spPr>
            <a:solidFill>
              <a:srgbClr val="1D8A7E"/>
            </a:solidFill>
            <a:ln w="12600">
              <a:solidFill>
                <a:srgbClr val="1D8A7E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1D8A7E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'01 Dashboard'!$B$62:$J$62</c:f>
              <c:strCache>
                <c:ptCount val="9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</c:strCache>
            </c:strRef>
          </c:cat>
          <c:val>
            <c:numRef>
              <c:f>'01 Dashboard'!$B$63:$J$63</c:f>
              <c:numCache>
                <c:formatCode>\$#,##0;[RED]"-$"#,##0</c:formatCode>
                <c:ptCount val="9"/>
                <c:pt idx="0">
                  <c:v>0</c:v>
                </c:pt>
                <c:pt idx="1">
                  <c:v>7000000</c:v>
                </c:pt>
                <c:pt idx="2">
                  <c:v>14980000</c:v>
                </c:pt>
                <c:pt idx="3">
                  <c:v>24180000</c:v>
                </c:pt>
                <c:pt idx="4">
                  <c:v>32380000</c:v>
                </c:pt>
                <c:pt idx="5">
                  <c:v>40380000</c:v>
                </c:pt>
                <c:pt idx="6">
                  <c:v>47580000</c:v>
                </c:pt>
                <c:pt idx="7">
                  <c:v>53580000</c:v>
                </c:pt>
                <c:pt idx="8">
                  <c:v>58980000</c:v>
                </c:pt>
              </c:numCache>
            </c:numRef>
          </c:val>
        </c:ser>
        <c:ser>
          <c:idx val="1"/>
          <c:order val="1"/>
          <c:tx>
            <c:strRef>
              <c:f>'01 Dashboard'!A64</c:f>
              <c:strCache>
                <c:ptCount val="1"/>
                <c:pt idx="0">
                  <c:v>IS2</c:v>
                </c:pt>
              </c:strCache>
            </c:strRef>
          </c:tx>
          <c:spPr>
            <a:solidFill>
              <a:srgbClr val="2BAD9F"/>
            </a:solidFill>
            <a:ln w="12600">
              <a:solidFill>
                <a:srgbClr val="2BAD9F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2BAD9F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'01 Dashboard'!$B$62:$J$62</c:f>
              <c:strCache>
                <c:ptCount val="9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</c:strCache>
            </c:strRef>
          </c:cat>
          <c:val>
            <c:numRef>
              <c:f>'01 Dashboard'!$B$64:$J$64</c:f>
              <c:numCache>
                <c:formatCode>\$#,##0;[RED]"-$"#,##0</c:formatCode>
                <c:ptCount val="9"/>
                <c:pt idx="0">
                  <c:v>0</c:v>
                </c:pt>
                <c:pt idx="1">
                  <c:v>300000</c:v>
                </c:pt>
                <c:pt idx="2">
                  <c:v>3750000</c:v>
                </c:pt>
                <c:pt idx="3">
                  <c:v>9250000</c:v>
                </c:pt>
                <c:pt idx="4">
                  <c:v>16750000</c:v>
                </c:pt>
                <c:pt idx="5">
                  <c:v>24250000</c:v>
                </c:pt>
                <c:pt idx="6">
                  <c:v>30000000</c:v>
                </c:pt>
                <c:pt idx="7">
                  <c:v>33750000</c:v>
                </c:pt>
                <c:pt idx="8">
                  <c:v>37500000</c:v>
                </c:pt>
              </c:numCache>
            </c:numRef>
          </c:val>
        </c:ser>
        <c:ser>
          <c:idx val="2"/>
          <c:order val="2"/>
          <c:tx>
            <c:strRef>
              <c:f>'01 Dashboard'!A65</c:f>
              <c:strCache>
                <c:ptCount val="1"/>
                <c:pt idx="0">
                  <c:v>IS3</c:v>
                </c:pt>
              </c:strCache>
            </c:strRef>
          </c:tx>
          <c:spPr>
            <a:solidFill>
              <a:srgbClr val="5FC9BC"/>
            </a:solidFill>
            <a:ln w="12600">
              <a:solidFill>
                <a:srgbClr val="5FC9BC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5FC9BC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'01 Dashboard'!$B$62:$J$62</c:f>
              <c:strCache>
                <c:ptCount val="9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</c:strCache>
            </c:strRef>
          </c:cat>
          <c:val>
            <c:numRef>
              <c:f>'01 Dashboard'!$B$65:$J$65</c:f>
              <c:numCache>
                <c:formatCode>\$#,##0;[RED]"-$"#,##0</c:formatCode>
                <c:ptCount val="9"/>
                <c:pt idx="0">
                  <c:v>0</c:v>
                </c:pt>
                <c:pt idx="1">
                  <c:v>125000</c:v>
                </c:pt>
                <c:pt idx="2">
                  <c:v>475000</c:v>
                </c:pt>
                <c:pt idx="3">
                  <c:v>950000</c:v>
                </c:pt>
                <c:pt idx="4">
                  <c:v>1650000</c:v>
                </c:pt>
                <c:pt idx="5">
                  <c:v>2400000</c:v>
                </c:pt>
                <c:pt idx="6">
                  <c:v>3150000</c:v>
                </c:pt>
                <c:pt idx="7">
                  <c:v>3900000</c:v>
                </c:pt>
                <c:pt idx="8">
                  <c:v>4650000</c:v>
                </c:pt>
              </c:numCache>
            </c:numRef>
          </c:val>
        </c:ser>
        <c:ser>
          <c:idx val="3"/>
          <c:order val="3"/>
          <c:tx>
            <c:strRef>
              <c:f>'01 Dashboard'!A66</c:f>
              <c:strCache>
                <c:ptCount val="1"/>
                <c:pt idx="0">
                  <c:v>IS4</c:v>
                </c:pt>
              </c:strCache>
            </c:strRef>
          </c:tx>
          <c:spPr>
            <a:solidFill>
              <a:srgbClr val="9FE0D6"/>
            </a:solidFill>
            <a:ln w="12600">
              <a:solidFill>
                <a:srgbClr val="9FE0D6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9FE0D6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'01 Dashboard'!$B$62:$J$62</c:f>
              <c:strCache>
                <c:ptCount val="9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</c:strCache>
            </c:strRef>
          </c:cat>
          <c:val>
            <c:numRef>
              <c:f>'01 Dashboard'!$B$66:$J$66</c:f>
              <c:numCache>
                <c:formatCode>\$#,##0;[RED]"-$"#,##0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750000</c:v>
                </c:pt>
                <c:pt idx="3">
                  <c:v>1125000</c:v>
                </c:pt>
                <c:pt idx="4">
                  <c:v>1500000</c:v>
                </c:pt>
                <c:pt idx="5">
                  <c:v>2100000</c:v>
                </c:pt>
                <c:pt idx="6">
                  <c:v>2550000</c:v>
                </c:pt>
                <c:pt idx="7">
                  <c:v>3000000</c:v>
                </c:pt>
                <c:pt idx="8">
                  <c:v>3450000</c:v>
                </c:pt>
              </c:numCache>
            </c:numRef>
          </c:val>
        </c:ser>
        <c:ser>
          <c:idx val="4"/>
          <c:order val="4"/>
          <c:tx>
            <c:strRef>
              <c:f>'01 Dashboard'!A67</c:f>
              <c:strCache>
                <c:ptCount val="1"/>
                <c:pt idx="0">
                  <c:v>IS5</c:v>
                </c:pt>
              </c:strCache>
            </c:strRef>
          </c:tx>
          <c:spPr>
            <a:solidFill>
              <a:srgbClr val="C8E8E4"/>
            </a:solidFill>
            <a:ln w="12600">
              <a:solidFill>
                <a:srgbClr val="C8E8E4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C8E8E4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'01 Dashboard'!$B$62:$J$62</c:f>
              <c:strCache>
                <c:ptCount val="9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</c:strCache>
            </c:strRef>
          </c:cat>
          <c:val>
            <c:numRef>
              <c:f>'01 Dashboard'!$B$67:$J$67</c:f>
              <c:numCache>
                <c:formatCode>\$#,##0;[RED]"-$"#,##0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525000</c:v>
                </c:pt>
                <c:pt idx="3">
                  <c:v>1050000</c:v>
                </c:pt>
                <c:pt idx="4">
                  <c:v>1575000</c:v>
                </c:pt>
                <c:pt idx="5">
                  <c:v>2100000</c:v>
                </c:pt>
                <c:pt idx="6">
                  <c:v>2625000</c:v>
                </c:pt>
                <c:pt idx="7">
                  <c:v>3150000</c:v>
                </c:pt>
                <c:pt idx="8">
                  <c:v>3675000</c:v>
                </c:pt>
              </c:numCache>
            </c:numRef>
          </c:val>
        </c:ser>
        <c:gapWidth val="150"/>
        <c:overlap val="100"/>
        <c:axId val="66924681"/>
        <c:axId val="48081931"/>
      </c:barChart>
      <c:catAx>
        <c:axId val="6692468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8081931"/>
        <c:crosses val="autoZero"/>
        <c:auto val="1"/>
        <c:lblAlgn val="ctr"/>
        <c:lblOffset val="100"/>
        <c:noMultiLvlLbl val="0"/>
      </c:catAx>
      <c:valAx>
        <c:axId val="4808193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\$#,##0;[RED]&quot;-$&quot;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6924681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EBITDA ramp ($)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'01 Dashboard'!A68</c:f>
              <c:strCache>
                <c:ptCount val="1"/>
                <c:pt idx="0">
                  <c:v>EBITDA</c:v>
                </c:pt>
              </c:strCache>
            </c:strRef>
          </c:tx>
          <c:spPr>
            <a:solidFill>
              <a:srgbClr val="1D8A7E"/>
            </a:solidFill>
            <a:ln w="12600">
              <a:solidFill>
                <a:srgbClr val="1D8A7E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1D8A7E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'01 Dashboard'!$B$62:$J$62</c:f>
              <c:strCache>
                <c:ptCount val="9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</c:strCache>
            </c:strRef>
          </c:cat>
          <c:val>
            <c:numRef>
              <c:f>'01 Dashboard'!$B$68:$J$68</c:f>
              <c:numCache>
                <c:formatCode>\$#,##0;[RED]"-$"#,##0</c:formatCode>
                <c:ptCount val="9"/>
                <c:pt idx="0">
                  <c:v>-2070000</c:v>
                </c:pt>
                <c:pt idx="1">
                  <c:v>2763651.92857143</c:v>
                </c:pt>
                <c:pt idx="2">
                  <c:v>10807295.7857143</c:v>
                </c:pt>
                <c:pt idx="3">
                  <c:v>22598238.5</c:v>
                </c:pt>
                <c:pt idx="4">
                  <c:v>34215929.3571429</c:v>
                </c:pt>
                <c:pt idx="5">
                  <c:v>47488488.7857143</c:v>
                </c:pt>
                <c:pt idx="6">
                  <c:v>59700406.7857143</c:v>
                </c:pt>
                <c:pt idx="7">
                  <c:v>68816987.6428571</c:v>
                </c:pt>
                <c:pt idx="8">
                  <c:v>77144024.9285714</c:v>
                </c:pt>
              </c:numCache>
            </c:numRef>
          </c:val>
        </c:ser>
        <c:gapWidth val="150"/>
        <c:overlap val="0"/>
        <c:axId val="74712881"/>
        <c:axId val="40258052"/>
      </c:barChart>
      <c:catAx>
        <c:axId val="7471288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0258052"/>
        <c:crosses val="autoZero"/>
        <c:auto val="1"/>
        <c:lblAlgn val="ctr"/>
        <c:lblOffset val="100"/>
        <c:noMultiLvlLbl val="0"/>
      </c:catAx>
      <c:valAx>
        <c:axId val="4025805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\$#,##0;[RED]&quot;-$&quot;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4712881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Gross margin by stream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'01 Dashboard'!A72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2BAD9F"/>
            </a:solidFill>
            <a:ln w="12600">
              <a:solidFill>
                <a:srgbClr val="2BAD9F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2BAD9F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'01 Dashboard'!$B$71:$I$71</c:f>
              <c:strCache>
                <c:ptCount val="8"/>
                <c:pt idx="0">
                  <c:v>IS1</c:v>
                </c:pt>
                <c:pt idx="1">
                  <c:v>IS3-A</c:v>
                </c:pt>
                <c:pt idx="2">
                  <c:v>IS3-B</c:v>
                </c:pt>
                <c:pt idx="3">
                  <c:v>IS3-C</c:v>
                </c:pt>
                <c:pt idx="4">
                  <c:v>IS2-A</c:v>
                </c:pt>
                <c:pt idx="5">
                  <c:v>IS2-B</c:v>
                </c:pt>
                <c:pt idx="6">
                  <c:v>IS4</c:v>
                </c:pt>
                <c:pt idx="7">
                  <c:v>IS5</c:v>
                </c:pt>
              </c:strCache>
            </c:strRef>
          </c:cat>
          <c:val>
            <c:numRef>
              <c:f>'01 Dashboard'!$B$72:$I$72</c:f>
              <c:numCache>
                <c:formatCode>0%</c:formatCode>
                <c:ptCount val="8"/>
                <c:pt idx="0">
                  <c:v>0.877876111757012</c:v>
                </c:pt>
                <c:pt idx="1">
                  <c:v>0.791471428571429</c:v>
                </c:pt>
                <c:pt idx="2">
                  <c:v>0.565854285714286</c:v>
                </c:pt>
                <c:pt idx="3">
                  <c:v>0.674390714285714</c:v>
                </c:pt>
                <c:pt idx="4">
                  <c:v>0.966</c:v>
                </c:pt>
                <c:pt idx="5">
                  <c:v>0.954181818181818</c:v>
                </c:pt>
                <c:pt idx="6">
                  <c:v>0.290434782608696</c:v>
                </c:pt>
                <c:pt idx="7">
                  <c:v>0.295238095238095</c:v>
                </c:pt>
              </c:numCache>
            </c:numRef>
          </c:val>
        </c:ser>
        <c:gapWidth val="150"/>
        <c:overlap val="0"/>
        <c:axId val="69171493"/>
        <c:axId val="43920867"/>
      </c:barChart>
      <c:catAx>
        <c:axId val="691714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3920867"/>
        <c:crosses val="autoZero"/>
        <c:auto val="1"/>
        <c:lblAlgn val="ctr"/>
        <c:lblOffset val="100"/>
        <c:noMultiLvlLbl val="0"/>
      </c:catAx>
      <c:valAx>
        <c:axId val="4392086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9171493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Cumulative group cash ($)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'01 Dashboard'!A69</c:f>
              <c:strCache>
                <c:ptCount val="1"/>
                <c:pt idx="0">
                  <c:v>CumCash</c:v>
                </c:pt>
              </c:strCache>
            </c:strRef>
          </c:tx>
          <c:spPr>
            <a:solidFill>
              <a:srgbClr val="1D8A7E"/>
            </a:solidFill>
            <a:ln w="12600">
              <a:solidFill>
                <a:srgbClr val="1D8A7E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0">
                  <a:solidFill>
                    <a:srgbClr val="1D8A7E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'01 Dashboard'!$B$62:$J$62</c:f>
              <c:strCache>
                <c:ptCount val="9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</c:strCache>
            </c:strRef>
          </c:cat>
          <c:val>
            <c:numRef>
              <c:f>'01 Dashboard'!$B$69:$J$69</c:f>
              <c:numCache>
                <c:formatCode>\$#,##0;[RED]"-$"#,##0</c:formatCode>
                <c:ptCount val="9"/>
                <c:pt idx="0">
                  <c:v>1700136.98630137</c:v>
                </c:pt>
                <c:pt idx="1">
                  <c:v>5612417.56246331</c:v>
                </c:pt>
                <c:pt idx="2">
                  <c:v>24702745.29693</c:v>
                </c:pt>
                <c:pt idx="3">
                  <c:v>65206874.3231776</c:v>
                </c:pt>
                <c:pt idx="4">
                  <c:v>126058514.031152</c:v>
                </c:pt>
                <c:pt idx="5">
                  <c:v>199391425.691377</c:v>
                </c:pt>
                <c:pt idx="6">
                  <c:v>284143413.058011</c:v>
                </c:pt>
                <c:pt idx="7">
                  <c:v>377497899.193921</c:v>
                </c:pt>
                <c:pt idx="8">
                  <c:v>478916725.585776</c:v>
                </c:pt>
              </c:numCache>
            </c:numRef>
          </c:val>
        </c:ser>
        <c:gapWidth val="150"/>
        <c:overlap val="0"/>
        <c:axId val="13285648"/>
        <c:axId val="94189129"/>
      </c:barChart>
      <c:catAx>
        <c:axId val="132856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4189129"/>
        <c:crosses val="autoZero"/>
        <c:auto val="1"/>
        <c:lblAlgn val="ctr"/>
        <c:lblOffset val="100"/>
        <c:noMultiLvlLbl val="0"/>
      </c:catAx>
      <c:valAx>
        <c:axId val="9418912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\$#,##0;[RED]&quot;-$&quot;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328564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32</xdr:row>
      <xdr:rowOff>0</xdr:rowOff>
    </xdr:from>
    <xdr:to>
      <xdr:col>2</xdr:col>
      <xdr:colOff>613080</xdr:colOff>
      <xdr:row>45</xdr:row>
      <xdr:rowOff>41040</xdr:rowOff>
    </xdr:to>
    <xdr:graphicFrame>
      <xdr:nvGraphicFramePr>
        <xdr:cNvPr id="1" name="Chart 1"/>
        <xdr:cNvGraphicFramePr/>
      </xdr:nvGraphicFramePr>
      <xdr:xfrm>
        <a:off x="0" y="6134040"/>
        <a:ext cx="4137480" cy="2517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32</xdr:row>
      <xdr:rowOff>0</xdr:rowOff>
    </xdr:from>
    <xdr:to>
      <xdr:col>10</xdr:col>
      <xdr:colOff>190440</xdr:colOff>
      <xdr:row>45</xdr:row>
      <xdr:rowOff>41040</xdr:rowOff>
    </xdr:to>
    <xdr:graphicFrame>
      <xdr:nvGraphicFramePr>
        <xdr:cNvPr id="2" name="Chart 2"/>
        <xdr:cNvGraphicFramePr/>
      </xdr:nvGraphicFramePr>
      <xdr:xfrm>
        <a:off x="7471440" y="6134040"/>
        <a:ext cx="4137480" cy="2517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48</xdr:row>
      <xdr:rowOff>0</xdr:rowOff>
    </xdr:from>
    <xdr:to>
      <xdr:col>2</xdr:col>
      <xdr:colOff>613080</xdr:colOff>
      <xdr:row>61</xdr:row>
      <xdr:rowOff>41040</xdr:rowOff>
    </xdr:to>
    <xdr:graphicFrame>
      <xdr:nvGraphicFramePr>
        <xdr:cNvPr id="3" name="Chart 3"/>
        <xdr:cNvGraphicFramePr/>
      </xdr:nvGraphicFramePr>
      <xdr:xfrm>
        <a:off x="0" y="9182160"/>
        <a:ext cx="4137480" cy="2517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48</xdr:row>
      <xdr:rowOff>0</xdr:rowOff>
    </xdr:from>
    <xdr:to>
      <xdr:col>10</xdr:col>
      <xdr:colOff>190440</xdr:colOff>
      <xdr:row>61</xdr:row>
      <xdr:rowOff>41040</xdr:rowOff>
    </xdr:to>
    <xdr:graphicFrame>
      <xdr:nvGraphicFramePr>
        <xdr:cNvPr id="4" name="Chart 4"/>
        <xdr:cNvGraphicFramePr/>
      </xdr:nvGraphicFramePr>
      <xdr:xfrm>
        <a:off x="7471440" y="9182160"/>
        <a:ext cx="4137480" cy="2517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CeibaQ_FinancialModel_FINAL_EN.xlsx" TargetMode="External"/><Relationship Id="rId2" Type="http://schemas.openxmlformats.org/officeDocument/2006/relationships/hyperlink" Target="CeibaQ_FinancialModel_FINAL_EN.xlsx" TargetMode="External"/><Relationship Id="rId3" Type="http://schemas.openxmlformats.org/officeDocument/2006/relationships/hyperlink" Target="CeibaQ_FinancialModel_FINAL_EN.xlsx" TargetMode="External"/><Relationship Id="rId4" Type="http://schemas.openxmlformats.org/officeDocument/2006/relationships/hyperlink" Target="CeibaQ_FinancialModel_FINAL_EN.xlsx" TargetMode="External"/><Relationship Id="rId5" Type="http://schemas.openxmlformats.org/officeDocument/2006/relationships/hyperlink" Target="CeibaQ_FinancialModel_FINAL_EN.xlsx" TargetMode="External"/><Relationship Id="rId6" Type="http://schemas.openxmlformats.org/officeDocument/2006/relationships/hyperlink" Target="CeibaQ_FinancialModel_FINAL_EN.xlsx" TargetMode="External"/><Relationship Id="rId7" Type="http://schemas.openxmlformats.org/officeDocument/2006/relationships/hyperlink" Target="CeibaQ_FinancialModel_FINAL_EN.xlsx" TargetMode="External"/><Relationship Id="rId8" Type="http://schemas.openxmlformats.org/officeDocument/2006/relationships/hyperlink" Target="CeibaQ_FinancialModel_FINAL_EN.xlsx" TargetMode="External"/><Relationship Id="rId9" Type="http://schemas.openxmlformats.org/officeDocument/2006/relationships/hyperlink" Target="CeibaQ_FinancialModel_FINAL_EN.xlsx" TargetMode="External"/><Relationship Id="rId10" Type="http://schemas.openxmlformats.org/officeDocument/2006/relationships/hyperlink" Target="CeibaQ_FinancialModel_FINAL_EN.xlsx" TargetMode="External"/><Relationship Id="rId11" Type="http://schemas.openxmlformats.org/officeDocument/2006/relationships/hyperlink" Target="CeibaQ_FinancialModel_FINAL_EN.xlsx" TargetMode="External"/><Relationship Id="rId12" Type="http://schemas.openxmlformats.org/officeDocument/2006/relationships/hyperlink" Target="CeibaQ_FinancialModel_FINAL_EN.xlsx" TargetMode="External"/><Relationship Id="rId13" Type="http://schemas.openxmlformats.org/officeDocument/2006/relationships/hyperlink" Target="CeibaQ_FinancialModel_FINAL_EN.xlsx" TargetMode="External"/><Relationship Id="rId14" Type="http://schemas.openxmlformats.org/officeDocument/2006/relationships/hyperlink" Target="CeibaQ_FinancialModel_FINAL_EN.xlsx" TargetMode="External"/><Relationship Id="rId15" Type="http://schemas.openxmlformats.org/officeDocument/2006/relationships/hyperlink" Target="CeibaQ_FinancialModel_FINAL_EN.xlsx" TargetMode="External"/><Relationship Id="rId16" Type="http://schemas.openxmlformats.org/officeDocument/2006/relationships/hyperlink" Target="CeibaQ_FinancialModel_FINAL_EN.xlsx" TargetMode="External"/><Relationship Id="rId17" Type="http://schemas.openxmlformats.org/officeDocument/2006/relationships/hyperlink" Target="CeibaQ_FinancialModel_FINAL_EN.xlsx" TargetMode="External"/><Relationship Id="rId18" Type="http://schemas.openxmlformats.org/officeDocument/2006/relationships/hyperlink" Target="CeibaQ_FinancialModel_FINAL_EN.xlsx" TargetMode="External"/><Relationship Id="rId19" Type="http://schemas.openxmlformats.org/officeDocument/2006/relationships/hyperlink" Target="CeibaQ_FinancialModel_FINAL_EN.xlsx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M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13" min="2" style="1" width="10"/>
  </cols>
  <sheetData>
    <row r="2" customFormat="false" ht="26.2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4" customFormat="false" ht="15" hidden="false" customHeight="true" outlineLevel="0" collapsed="false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6" customFormat="false" ht="21.75" hidden="false" customHeight="true" outlineLevel="0" collapsed="false">
      <c r="B6" s="5" t="s">
        <v>3</v>
      </c>
      <c r="C6" s="5"/>
      <c r="D6" s="6" t="s">
        <v>4</v>
      </c>
      <c r="E6" s="6"/>
      <c r="F6" s="5" t="s">
        <v>5</v>
      </c>
      <c r="G6" s="5"/>
      <c r="H6" s="6" t="s">
        <v>6</v>
      </c>
      <c r="I6" s="6"/>
      <c r="J6" s="5" t="s">
        <v>7</v>
      </c>
      <c r="K6" s="5"/>
      <c r="L6" s="6" t="s">
        <v>8</v>
      </c>
      <c r="M6" s="6"/>
    </row>
    <row r="7" customFormat="false" ht="15" hidden="false" customHeight="true" outlineLevel="0" collapsed="false">
      <c r="B7" s="7" t="n">
        <f aca="false">'05 P&amp;L'!J12</f>
        <v>108255000</v>
      </c>
      <c r="C7" s="7"/>
      <c r="D7" s="8" t="n">
        <f aca="false">'05 P&amp;L'!J24</f>
        <v>77144024.9285714</v>
      </c>
      <c r="E7" s="8"/>
      <c r="F7" s="9" t="n">
        <f aca="false">'05 P&amp;L'!J18/'05 P&amp;L'!J12</f>
        <v>0.85902752693706</v>
      </c>
      <c r="G7" s="9"/>
      <c r="H7" s="8" t="n">
        <f aca="false">'08 Valuation'!B15</f>
        <v>78221006.9188364</v>
      </c>
      <c r="I7" s="8"/>
      <c r="J7" s="10" t="n">
        <f aca="false">'08 Valuation'!B39</f>
        <v>4500000</v>
      </c>
      <c r="K7" s="10"/>
      <c r="L7" s="11" t="n">
        <f aca="false">'08 Valuation'!B33</f>
        <v>1002872324.07143</v>
      </c>
      <c r="M7" s="11"/>
    </row>
    <row r="8" customFormat="false" ht="15" hidden="false" customHeight="true" outlineLevel="0" collapsed="false">
      <c r="B8" s="7"/>
      <c r="C8" s="7"/>
      <c r="D8" s="8"/>
      <c r="E8" s="8"/>
      <c r="F8" s="9"/>
      <c r="G8" s="9"/>
      <c r="H8" s="8"/>
      <c r="I8" s="8"/>
      <c r="J8" s="10"/>
      <c r="K8" s="10"/>
      <c r="L8" s="11"/>
      <c r="M8" s="11"/>
    </row>
    <row r="10" customFormat="false" ht="15" hidden="false" customHeight="true" outlineLevel="0" collapsed="false">
      <c r="B10" s="12" t="s">
        <v>9</v>
      </c>
    </row>
    <row r="11" customFormat="false" ht="15" hidden="false" customHeight="true" outlineLevel="0" collapsed="false">
      <c r="B11" s="13" t="s">
        <v>10</v>
      </c>
      <c r="C11" s="13"/>
      <c r="D11" s="13"/>
      <c r="E11" s="13" t="s">
        <v>11</v>
      </c>
      <c r="F11" s="13"/>
      <c r="G11" s="13"/>
      <c r="H11" s="13" t="s">
        <v>12</v>
      </c>
      <c r="I11" s="13"/>
      <c r="J11" s="13"/>
      <c r="K11" s="13" t="s">
        <v>13</v>
      </c>
      <c r="L11" s="13"/>
      <c r="M11" s="13"/>
    </row>
    <row r="12" customFormat="false" ht="15" hidden="false" customHeight="true" outlineLevel="0" collapsed="false">
      <c r="B12" s="14" t="n">
        <f aca="false">'06 Cash-Flow'!J28</f>
        <v>478916725.585776</v>
      </c>
      <c r="C12" s="14"/>
      <c r="D12" s="14"/>
      <c r="E12" s="15" t="n">
        <f aca="false">'09 Funding'!C15</f>
        <v>0.773448773448774</v>
      </c>
      <c r="F12" s="15"/>
      <c r="G12" s="15"/>
      <c r="H12" s="16" t="n">
        <f aca="false">'05 P&amp;L'!B34</f>
        <v>19319500</v>
      </c>
      <c r="I12" s="16"/>
      <c r="J12" s="16"/>
      <c r="K12" s="17" t="n">
        <f aca="false">2028</f>
        <v>2028</v>
      </c>
      <c r="L12" s="17"/>
      <c r="M12" s="17"/>
    </row>
    <row r="14" customFormat="false" ht="15" hidden="false" customHeight="true" outlineLevel="0" collapsed="false">
      <c r="B14" s="18" t="s">
        <v>14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customFormat="false" ht="15" hidden="false" customHeight="true" outlineLevel="0" collapsed="false">
      <c r="B15" s="19" t="s">
        <v>15</v>
      </c>
      <c r="C15" s="19"/>
      <c r="D15" s="20" t="s">
        <v>16</v>
      </c>
      <c r="E15" s="20"/>
      <c r="F15" s="20"/>
      <c r="G15" s="20"/>
      <c r="H15" s="20"/>
      <c r="I15" s="20"/>
      <c r="J15" s="20"/>
      <c r="K15" s="20"/>
      <c r="L15" s="20"/>
      <c r="M15" s="20"/>
    </row>
    <row r="16" customFormat="false" ht="15" hidden="false" customHeight="true" outlineLevel="0" collapsed="false">
      <c r="B16" s="19" t="s">
        <v>17</v>
      </c>
      <c r="C16" s="19"/>
      <c r="D16" s="20" t="s">
        <v>18</v>
      </c>
      <c r="E16" s="20"/>
      <c r="F16" s="20"/>
      <c r="G16" s="20"/>
      <c r="H16" s="20"/>
      <c r="I16" s="20"/>
      <c r="J16" s="20"/>
      <c r="K16" s="20"/>
      <c r="L16" s="20"/>
      <c r="M16" s="20"/>
    </row>
    <row r="17" customFormat="false" ht="15" hidden="false" customHeight="true" outlineLevel="0" collapsed="false">
      <c r="B17" s="19" t="s">
        <v>19</v>
      </c>
      <c r="C17" s="19"/>
      <c r="D17" s="20" t="s">
        <v>20</v>
      </c>
      <c r="E17" s="20"/>
      <c r="F17" s="20"/>
      <c r="G17" s="20"/>
      <c r="H17" s="20"/>
      <c r="I17" s="20"/>
      <c r="J17" s="20"/>
      <c r="K17" s="20"/>
      <c r="L17" s="20"/>
      <c r="M17" s="20"/>
    </row>
    <row r="18" customFormat="false" ht="15" hidden="false" customHeight="true" outlineLevel="0" collapsed="false">
      <c r="B18" s="19" t="s">
        <v>21</v>
      </c>
      <c r="C18" s="19"/>
      <c r="D18" s="20" t="s">
        <v>22</v>
      </c>
      <c r="E18" s="20"/>
      <c r="F18" s="20"/>
      <c r="G18" s="20"/>
      <c r="H18" s="20"/>
      <c r="I18" s="20"/>
      <c r="J18" s="20"/>
      <c r="K18" s="20"/>
      <c r="L18" s="20"/>
      <c r="M18" s="20"/>
    </row>
    <row r="19" customFormat="false" ht="15" hidden="false" customHeight="true" outlineLevel="0" collapsed="false">
      <c r="B19" s="19" t="s">
        <v>23</v>
      </c>
      <c r="C19" s="19"/>
      <c r="D19" s="20" t="s">
        <v>24</v>
      </c>
      <c r="E19" s="20"/>
      <c r="F19" s="20"/>
      <c r="G19" s="20"/>
      <c r="H19" s="20"/>
      <c r="I19" s="20"/>
      <c r="J19" s="20"/>
      <c r="K19" s="20"/>
      <c r="L19" s="20"/>
      <c r="M19" s="20"/>
    </row>
    <row r="20" customFormat="false" ht="15" hidden="false" customHeight="true" outlineLevel="0" collapsed="false">
      <c r="B20" s="19" t="s">
        <v>25</v>
      </c>
      <c r="C20" s="19"/>
      <c r="D20" s="20" t="s">
        <v>26</v>
      </c>
      <c r="E20" s="20"/>
      <c r="F20" s="20"/>
      <c r="G20" s="20"/>
      <c r="H20" s="20"/>
      <c r="I20" s="20"/>
      <c r="J20" s="20"/>
      <c r="K20" s="20"/>
      <c r="L20" s="20"/>
      <c r="M20" s="20"/>
    </row>
    <row r="21" customFormat="false" ht="15" hidden="false" customHeight="true" outlineLevel="0" collapsed="false">
      <c r="B21" s="19" t="s">
        <v>27</v>
      </c>
      <c r="C21" s="19"/>
      <c r="D21" s="20" t="s">
        <v>28</v>
      </c>
      <c r="E21" s="20"/>
      <c r="F21" s="20"/>
      <c r="G21" s="20"/>
      <c r="H21" s="20"/>
      <c r="I21" s="20"/>
      <c r="J21" s="20"/>
      <c r="K21" s="20"/>
      <c r="L21" s="20"/>
      <c r="M21" s="20"/>
    </row>
    <row r="22" customFormat="false" ht="15" hidden="false" customHeight="true" outlineLevel="0" collapsed="false">
      <c r="B22" s="19" t="s">
        <v>29</v>
      </c>
      <c r="C22" s="19"/>
      <c r="D22" s="20" t="s">
        <v>30</v>
      </c>
      <c r="E22" s="20"/>
      <c r="F22" s="20"/>
      <c r="G22" s="20"/>
      <c r="H22" s="20"/>
      <c r="I22" s="20"/>
      <c r="J22" s="20"/>
      <c r="K22" s="20"/>
      <c r="L22" s="20"/>
      <c r="M22" s="20"/>
    </row>
    <row r="23" customFormat="false" ht="15" hidden="false" customHeight="true" outlineLevel="0" collapsed="false">
      <c r="B23" s="19" t="s">
        <v>31</v>
      </c>
      <c r="C23" s="19"/>
      <c r="D23" s="20" t="s">
        <v>32</v>
      </c>
      <c r="E23" s="20"/>
      <c r="F23" s="20"/>
      <c r="G23" s="20"/>
      <c r="H23" s="20"/>
      <c r="I23" s="20"/>
      <c r="J23" s="20"/>
      <c r="K23" s="20"/>
      <c r="L23" s="20"/>
      <c r="M23" s="20"/>
    </row>
    <row r="24" customFormat="false" ht="15" hidden="false" customHeight="true" outlineLevel="0" collapsed="false">
      <c r="B24" s="19" t="s">
        <v>33</v>
      </c>
      <c r="C24" s="19"/>
      <c r="D24" s="20" t="s">
        <v>34</v>
      </c>
      <c r="E24" s="20"/>
      <c r="F24" s="20"/>
      <c r="G24" s="20"/>
      <c r="H24" s="20"/>
      <c r="I24" s="20"/>
      <c r="J24" s="20"/>
      <c r="K24" s="20"/>
      <c r="L24" s="20"/>
      <c r="M24" s="20"/>
    </row>
    <row r="25" customFormat="false" ht="15" hidden="false" customHeight="true" outlineLevel="0" collapsed="false">
      <c r="B25" s="19" t="s">
        <v>35</v>
      </c>
      <c r="C25" s="19"/>
      <c r="D25" s="20" t="s">
        <v>36</v>
      </c>
      <c r="E25" s="20"/>
      <c r="F25" s="20"/>
      <c r="G25" s="20"/>
      <c r="H25" s="20"/>
      <c r="I25" s="20"/>
      <c r="J25" s="20"/>
      <c r="K25" s="20"/>
      <c r="L25" s="20"/>
      <c r="M25" s="20"/>
    </row>
    <row r="26" customFormat="false" ht="15" hidden="false" customHeight="true" outlineLevel="0" collapsed="false">
      <c r="B26" s="19" t="s">
        <v>37</v>
      </c>
      <c r="C26" s="19"/>
      <c r="D26" s="20" t="s">
        <v>38</v>
      </c>
      <c r="E26" s="20"/>
      <c r="F26" s="20"/>
      <c r="G26" s="20"/>
      <c r="H26" s="20"/>
      <c r="I26" s="20"/>
      <c r="J26" s="20"/>
      <c r="K26" s="20"/>
      <c r="L26" s="20"/>
      <c r="M26" s="20"/>
    </row>
    <row r="27" customFormat="false" ht="15" hidden="false" customHeight="true" outlineLevel="0" collapsed="false">
      <c r="B27" s="19" t="s">
        <v>39</v>
      </c>
      <c r="C27" s="19"/>
      <c r="D27" s="20" t="s">
        <v>40</v>
      </c>
      <c r="E27" s="20"/>
      <c r="F27" s="20"/>
      <c r="G27" s="20"/>
      <c r="H27" s="20"/>
      <c r="I27" s="20"/>
      <c r="J27" s="20"/>
      <c r="K27" s="20"/>
      <c r="L27" s="20"/>
      <c r="M27" s="20"/>
    </row>
    <row r="28" customFormat="false" ht="15" hidden="false" customHeight="true" outlineLevel="0" collapsed="false">
      <c r="B28" s="19" t="s">
        <v>41</v>
      </c>
      <c r="C28" s="19"/>
      <c r="D28" s="20" t="s">
        <v>42</v>
      </c>
      <c r="E28" s="20"/>
      <c r="F28" s="20"/>
      <c r="G28" s="20"/>
      <c r="H28" s="20"/>
      <c r="I28" s="20"/>
      <c r="J28" s="20"/>
      <c r="K28" s="20"/>
      <c r="L28" s="20"/>
      <c r="M28" s="20"/>
    </row>
    <row r="29" customFormat="false" ht="15" hidden="false" customHeight="true" outlineLevel="0" collapsed="false">
      <c r="B29" s="19" t="s">
        <v>43</v>
      </c>
      <c r="C29" s="19"/>
      <c r="D29" s="20" t="s">
        <v>44</v>
      </c>
      <c r="E29" s="20"/>
      <c r="F29" s="20"/>
      <c r="G29" s="20"/>
      <c r="H29" s="20"/>
      <c r="I29" s="20"/>
      <c r="J29" s="20"/>
      <c r="K29" s="20"/>
      <c r="L29" s="20"/>
      <c r="M29" s="20"/>
    </row>
    <row r="30" customFormat="false" ht="15" hidden="false" customHeight="true" outlineLevel="0" collapsed="false">
      <c r="B30" s="19" t="s">
        <v>45</v>
      </c>
      <c r="C30" s="19"/>
      <c r="D30" s="20" t="s">
        <v>46</v>
      </c>
      <c r="E30" s="20"/>
      <c r="F30" s="20"/>
      <c r="G30" s="20"/>
      <c r="H30" s="20"/>
      <c r="I30" s="20"/>
      <c r="J30" s="20"/>
      <c r="K30" s="20"/>
      <c r="L30" s="20"/>
      <c r="M30" s="20"/>
    </row>
    <row r="31" customFormat="false" ht="15" hidden="false" customHeight="true" outlineLevel="0" collapsed="false">
      <c r="B31" s="19" t="s">
        <v>47</v>
      </c>
      <c r="C31" s="19"/>
      <c r="D31" s="20" t="s">
        <v>48</v>
      </c>
      <c r="E31" s="20"/>
      <c r="F31" s="20"/>
      <c r="G31" s="20"/>
      <c r="H31" s="20"/>
      <c r="I31" s="20"/>
      <c r="J31" s="20"/>
      <c r="K31" s="20"/>
      <c r="L31" s="20"/>
      <c r="M31" s="20"/>
    </row>
    <row r="32" customFormat="false" ht="15" hidden="false" customHeight="true" outlineLevel="0" collapsed="false">
      <c r="B32" s="19" t="s">
        <v>49</v>
      </c>
      <c r="C32" s="19"/>
      <c r="D32" s="20" t="s">
        <v>50</v>
      </c>
      <c r="E32" s="20"/>
      <c r="F32" s="20"/>
      <c r="G32" s="20"/>
      <c r="H32" s="20"/>
      <c r="I32" s="20"/>
      <c r="J32" s="20"/>
      <c r="K32" s="20"/>
      <c r="L32" s="20"/>
      <c r="M32" s="20"/>
    </row>
    <row r="33" customFormat="false" ht="15" hidden="false" customHeight="true" outlineLevel="0" collapsed="false">
      <c r="B33" s="19" t="s">
        <v>51</v>
      </c>
      <c r="C33" s="19"/>
      <c r="D33" s="20" t="s">
        <v>52</v>
      </c>
      <c r="E33" s="20"/>
      <c r="F33" s="20"/>
      <c r="G33" s="20"/>
      <c r="H33" s="20"/>
      <c r="I33" s="20"/>
      <c r="J33" s="20"/>
      <c r="K33" s="20"/>
      <c r="L33" s="20"/>
      <c r="M33" s="20"/>
    </row>
  </sheetData>
  <mergeCells count="60">
    <mergeCell ref="B4:M4"/>
    <mergeCell ref="B6:C6"/>
    <mergeCell ref="D6:E6"/>
    <mergeCell ref="F6:G6"/>
    <mergeCell ref="H6:I6"/>
    <mergeCell ref="J6:K6"/>
    <mergeCell ref="L6:M6"/>
    <mergeCell ref="B7:C8"/>
    <mergeCell ref="D7:E8"/>
    <mergeCell ref="F7:G8"/>
    <mergeCell ref="H7:I8"/>
    <mergeCell ref="J7:K8"/>
    <mergeCell ref="L7:M8"/>
    <mergeCell ref="B11:D11"/>
    <mergeCell ref="E11:G11"/>
    <mergeCell ref="H11:J11"/>
    <mergeCell ref="K11:M11"/>
    <mergeCell ref="B12:D12"/>
    <mergeCell ref="E12:G12"/>
    <mergeCell ref="H12:J12"/>
    <mergeCell ref="K12:M12"/>
    <mergeCell ref="B14:M14"/>
    <mergeCell ref="B15:C15"/>
    <mergeCell ref="D15:M15"/>
    <mergeCell ref="B16:C16"/>
    <mergeCell ref="D16:M16"/>
    <mergeCell ref="B17:C17"/>
    <mergeCell ref="D17:M17"/>
    <mergeCell ref="B18:C18"/>
    <mergeCell ref="D18:M18"/>
    <mergeCell ref="B19:C19"/>
    <mergeCell ref="D19:M19"/>
    <mergeCell ref="B20:C20"/>
    <mergeCell ref="D20:M20"/>
    <mergeCell ref="B21:C21"/>
    <mergeCell ref="D21:M21"/>
    <mergeCell ref="B22:C22"/>
    <mergeCell ref="D22:M22"/>
    <mergeCell ref="B23:C23"/>
    <mergeCell ref="D23:M23"/>
    <mergeCell ref="B24:C24"/>
    <mergeCell ref="D24:M24"/>
    <mergeCell ref="B25:C25"/>
    <mergeCell ref="D25:M25"/>
    <mergeCell ref="B26:C26"/>
    <mergeCell ref="D26:M26"/>
    <mergeCell ref="B27:C27"/>
    <mergeCell ref="D27:M27"/>
    <mergeCell ref="B28:C28"/>
    <mergeCell ref="D28:M28"/>
    <mergeCell ref="B29:C29"/>
    <mergeCell ref="D29:M29"/>
    <mergeCell ref="B30:C30"/>
    <mergeCell ref="D30:M30"/>
    <mergeCell ref="B31:C31"/>
    <mergeCell ref="D31:M31"/>
    <mergeCell ref="B32:C32"/>
    <mergeCell ref="D32:M32"/>
    <mergeCell ref="B33:C33"/>
    <mergeCell ref="D33:M33"/>
  </mergeCells>
  <hyperlinks>
    <hyperlink ref="B15" r:id="rId1" location="'01%20Dashboard'!A1" display="01 Dashboard"/>
    <hyperlink ref="B16" r:id="rId2" location="'02%20Assumptions'!A1" display="02 Assumptions"/>
    <hyperlink ref="B17" r:id="rId3" location="'03%20CTS_by_Stream'!A1" display="03 CTS_by_Stream"/>
    <hyperlink ref="B18" r:id="rId4" location="'04%20Roadmap'!A1" display="04 Roadmap"/>
    <hyperlink ref="B19" r:id="rId5" location="'05%20P&amp;L'!A1" display="05 P&amp;L"/>
    <hyperlink ref="B20" r:id="rId6" location="'06%20Cash-Flow'!A1" display="06 Cash-Flow"/>
    <hyperlink ref="B21" r:id="rId7" location="'07%20Balance_Sheet'!A1" display="07 Balance_Sheet"/>
    <hyperlink ref="B22" r:id="rId8" location="'08%20Valuation'!A1" display="08 Valuation"/>
    <hyperlink ref="B23" r:id="rId9" location="'09%20Funding'!A1" display="09 Funding"/>
    <hyperlink ref="B24" r:id="rId10" location="'10%20Returns'!A1" display="10 Returns"/>
    <hyperlink ref="B25" r:id="rId11" location="'11%20Monthly_Runway'!A1" display="11 Monthly_Runway"/>
    <hyperlink ref="B26" r:id="rId12" location="'12%20Grant_Tracker'!A1" display="12 Grant_Tracker"/>
    <hyperlink ref="B27" r:id="rId13" location="'13%20Legal_Risks'!A1" display="13 Legal_Risks"/>
    <hyperlink ref="B28" r:id="rId14" location="'14%20Recon_Controls'!A1" display="14 Recon_Controls"/>
    <hyperlink ref="B29" r:id="rId15" location="'15%20Data_Quality_Gates'!A1" display="15 Data_Quality_Gates"/>
    <hyperlink ref="B30" r:id="rId16" location="'16%20A_ROOT_CostCenter'!A1" display="16–19 Cost centers"/>
    <hyperlink ref="B31" r:id="rId17" location="'20%20Depreciation'!A1" display="20 Depreciation"/>
    <hyperlink ref="B32" r:id="rId18" location="'21%20Downside'!A1" display="21 Downside"/>
    <hyperlink ref="B33" r:id="rId19" location="'22%20Debt_Schedule'!A1" display="22 Debt_Schedule"/>
  </hyperlinks>
  <printOptions headings="false" gridLines="false" gridLinesSet="true" horizontalCentered="fals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64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6" min="2" style="1" width="16"/>
    <col collapsed="false" customWidth="true" hidden="false" outlineLevel="0" max="8" min="8" style="1" width="26"/>
    <col collapsed="false" customWidth="true" hidden="false" outlineLevel="0" max="9" min="9" style="1" width="24"/>
    <col collapsed="false" customWidth="true" hidden="false" outlineLevel="0" max="10" min="10" style="1" width="12"/>
    <col collapsed="false" customWidth="true" hidden="false" outlineLevel="0" max="12" min="11" style="1" width="13"/>
  </cols>
  <sheetData>
    <row r="1" customFormat="false" ht="17.25" hidden="false" customHeight="true" outlineLevel="0" collapsed="false">
      <c r="A1" s="157" t="s">
        <v>581</v>
      </c>
    </row>
    <row r="2" customFormat="false" ht="30" hidden="false" customHeight="true" outlineLevel="0" collapsed="false">
      <c r="A2" s="158" t="s">
        <v>582</v>
      </c>
      <c r="B2" s="158"/>
      <c r="C2" s="158"/>
      <c r="D2" s="158"/>
      <c r="E2" s="158"/>
      <c r="F2" s="158"/>
    </row>
    <row r="4" customFormat="false" ht="15" hidden="false" customHeight="true" outlineLevel="0" collapsed="false">
      <c r="A4" s="26" t="s">
        <v>583</v>
      </c>
      <c r="B4" s="26"/>
      <c r="C4" s="26"/>
      <c r="D4" s="26"/>
      <c r="E4" s="26"/>
      <c r="F4" s="26"/>
      <c r="H4" s="201" t="s">
        <v>584</v>
      </c>
      <c r="I4" s="201"/>
      <c r="J4" s="201"/>
      <c r="K4" s="201"/>
      <c r="L4" s="201"/>
    </row>
    <row r="5" customFormat="false" ht="15" hidden="false" customHeight="true" outlineLevel="0" collapsed="false">
      <c r="A5" s="23" t="s">
        <v>585</v>
      </c>
      <c r="B5" s="202" t="n">
        <v>1</v>
      </c>
      <c r="C5" s="25"/>
      <c r="D5" s="25"/>
      <c r="E5" s="25"/>
      <c r="F5" s="25"/>
      <c r="H5" s="28" t="s">
        <v>586</v>
      </c>
      <c r="I5" s="28"/>
      <c r="J5" s="28"/>
      <c r="K5" s="28"/>
      <c r="L5" s="84" t="n">
        <f aca="false">B6</f>
        <v>150000</v>
      </c>
    </row>
    <row r="6" customFormat="false" ht="15" hidden="false" customHeight="true" outlineLevel="0" collapsed="false">
      <c r="A6" s="23" t="s">
        <v>587</v>
      </c>
      <c r="B6" s="203" t="n">
        <v>150000</v>
      </c>
      <c r="C6" s="23" t="s">
        <v>588</v>
      </c>
      <c r="D6" s="203" t="n">
        <v>450000</v>
      </c>
      <c r="E6" s="25"/>
      <c r="F6" s="25"/>
      <c r="H6" s="28" t="s">
        <v>589</v>
      </c>
      <c r="I6" s="28"/>
      <c r="J6" s="28"/>
      <c r="K6" s="28"/>
      <c r="L6" s="84" t="n">
        <f aca="false">B7</f>
        <v>3500000</v>
      </c>
    </row>
    <row r="7" customFormat="false" ht="15" hidden="false" customHeight="true" outlineLevel="0" collapsed="false">
      <c r="A7" s="23" t="s">
        <v>590</v>
      </c>
      <c r="B7" s="203" t="n">
        <v>3500000</v>
      </c>
      <c r="C7" s="23" t="s">
        <v>591</v>
      </c>
      <c r="D7" s="203" t="n">
        <v>4500000</v>
      </c>
      <c r="E7" s="25"/>
      <c r="F7" s="57"/>
      <c r="G7" s="204"/>
      <c r="H7" s="205" t="s">
        <v>592</v>
      </c>
      <c r="I7" s="205"/>
      <c r="J7" s="205"/>
      <c r="K7" s="205"/>
      <c r="L7" s="206" t="n">
        <f aca="false">B6/B7</f>
        <v>0.0428571428571429</v>
      </c>
    </row>
    <row r="8" customFormat="false" ht="15" hidden="false" customHeight="true" outlineLevel="0" collapsed="false">
      <c r="A8" s="23" t="s">
        <v>593</v>
      </c>
      <c r="B8" s="203" t="n">
        <v>3000000</v>
      </c>
      <c r="C8" s="57" t="s">
        <v>594</v>
      </c>
      <c r="D8" s="207" t="n">
        <v>0.2</v>
      </c>
      <c r="E8" s="25"/>
      <c r="F8" s="57"/>
      <c r="G8" s="208"/>
      <c r="H8" s="28" t="s">
        <v>595</v>
      </c>
      <c r="I8" s="28"/>
      <c r="J8" s="28"/>
      <c r="K8" s="28"/>
      <c r="L8" s="206" t="n">
        <f aca="false">B6/D7</f>
        <v>0.0333333333333333</v>
      </c>
    </row>
    <row r="9" customFormat="false" ht="15" hidden="false" customHeight="true" outlineLevel="0" collapsed="false">
      <c r="A9" s="23" t="s">
        <v>596</v>
      </c>
      <c r="B9" s="203" t="n">
        <v>15000000</v>
      </c>
      <c r="C9" s="25"/>
      <c r="D9" s="25"/>
      <c r="E9" s="25"/>
      <c r="F9" s="57"/>
      <c r="G9" s="208"/>
      <c r="H9" s="205" t="s">
        <v>597</v>
      </c>
      <c r="I9" s="205"/>
      <c r="J9" s="205"/>
      <c r="K9" s="205"/>
      <c r="L9" s="206" t="n">
        <f aca="false">(B6/B7)/(B6/D7)-1</f>
        <v>0.285714285714286</v>
      </c>
    </row>
    <row r="10" customFormat="false" ht="15" hidden="false" customHeight="true" outlineLevel="0" collapsed="false">
      <c r="A10" s="23" t="s">
        <v>598</v>
      </c>
      <c r="B10" s="203" t="n">
        <v>0</v>
      </c>
      <c r="C10" s="25"/>
      <c r="D10" s="25"/>
      <c r="E10" s="25"/>
      <c r="F10" s="25"/>
      <c r="H10" s="209" t="s">
        <v>599</v>
      </c>
      <c r="I10" s="209"/>
      <c r="J10" s="209"/>
      <c r="K10" s="209"/>
      <c r="L10" s="25"/>
    </row>
    <row r="11" customFormat="false" ht="15" hidden="false" customHeight="true" outlineLevel="0" collapsed="false">
      <c r="A11" s="23" t="s">
        <v>600</v>
      </c>
      <c r="B11" s="203" t="n">
        <v>50000000</v>
      </c>
      <c r="C11" s="25"/>
      <c r="D11" s="25"/>
      <c r="E11" s="25"/>
      <c r="F11" s="25"/>
      <c r="H11" s="28" t="s">
        <v>601</v>
      </c>
      <c r="I11" s="28"/>
      <c r="J11" s="28"/>
      <c r="K11" s="28"/>
      <c r="L11" s="206" t="n">
        <f aca="false">D6/D7</f>
        <v>0.1</v>
      </c>
    </row>
    <row r="12" customFormat="false" ht="15" hidden="false" customHeight="true" outlineLevel="0" collapsed="false">
      <c r="A12" s="210" t="s">
        <v>602</v>
      </c>
      <c r="B12" s="208" t="n">
        <f aca="false">B6/B7</f>
        <v>0.0428571428571429</v>
      </c>
      <c r="H12" s="205" t="s">
        <v>603</v>
      </c>
      <c r="I12" s="205"/>
      <c r="J12" s="205"/>
      <c r="K12" s="205"/>
      <c r="L12" s="206" t="n">
        <f aca="false">(D6/(1-D8))/(B9+B8+D6/(1-D8))</f>
        <v>0.0303030303030303</v>
      </c>
    </row>
    <row r="13" customFormat="false" ht="15" hidden="false" customHeight="true" outlineLevel="0" collapsed="false">
      <c r="A13" s="26" t="s">
        <v>604</v>
      </c>
      <c r="B13" s="26"/>
      <c r="C13" s="26"/>
      <c r="D13" s="26"/>
      <c r="E13" s="26"/>
      <c r="F13" s="26"/>
      <c r="H13" s="205" t="s">
        <v>605</v>
      </c>
      <c r="I13" s="205"/>
      <c r="J13" s="205"/>
      <c r="K13" s="205"/>
      <c r="L13" s="206" t="n">
        <f aca="false">D6/D7-(D6/(1-D8))/(B9+B8+D6/(1-D8))</f>
        <v>0.0696969696969697</v>
      </c>
    </row>
    <row r="14" customFormat="false" ht="15" hidden="false" customHeight="true" outlineLevel="0" collapsed="false">
      <c r="A14" s="211" t="s">
        <v>606</v>
      </c>
      <c r="B14" s="211" t="s">
        <v>607</v>
      </c>
      <c r="C14" s="211" t="s">
        <v>608</v>
      </c>
      <c r="D14" s="211" t="s">
        <v>609</v>
      </c>
      <c r="E14" s="211" t="s">
        <v>128</v>
      </c>
      <c r="F14" s="211" t="s">
        <v>128</v>
      </c>
      <c r="H14" s="212"/>
      <c r="I14" s="212"/>
      <c r="J14" s="212"/>
      <c r="K14" s="212"/>
      <c r="L14" s="212"/>
    </row>
    <row r="15" customFormat="false" ht="15" hidden="false" customHeight="true" outlineLevel="0" collapsed="false">
      <c r="A15" s="37" t="s">
        <v>610</v>
      </c>
      <c r="B15" s="111" t="n">
        <f aca="false">B5*(1-$B$12)</f>
        <v>0.957142857142857</v>
      </c>
      <c r="C15" s="111" t="n">
        <f aca="false">B15*(B9/(B9+B8+D6/(1-$D$8)))</f>
        <v>0.773448773448774</v>
      </c>
      <c r="D15" s="111" t="n">
        <f aca="false">C15*(1-IF(B10=0,0,B10/(B11+B10)))</f>
        <v>0.773448773448774</v>
      </c>
      <c r="E15" s="25"/>
      <c r="F15" s="25"/>
      <c r="H15" s="212"/>
      <c r="I15" s="213"/>
      <c r="J15" s="208"/>
      <c r="K15" s="214"/>
      <c r="L15" s="214"/>
    </row>
    <row r="16" customFormat="false" ht="15" hidden="false" customHeight="true" outlineLevel="0" collapsed="false">
      <c r="A16" s="23" t="s">
        <v>611</v>
      </c>
      <c r="B16" s="111" t="n">
        <f aca="false">$B$12</f>
        <v>0.0428571428571429</v>
      </c>
      <c r="C16" s="111" t="n">
        <f aca="false">$B$12*(B9/(B9+B8+D6/(1-$D$8)))+(D6/(1-$D$8))/(B9+B8+D6/(1-$D$8))</f>
        <v>0.0649350649350649</v>
      </c>
      <c r="D16" s="111" t="n">
        <f aca="false">C16*(1-IF(B10=0,0,B10/(B11+B10)))</f>
        <v>0.0649350649350649</v>
      </c>
      <c r="E16" s="25"/>
      <c r="F16" s="25"/>
      <c r="H16" s="201" t="s">
        <v>612</v>
      </c>
      <c r="I16" s="201"/>
      <c r="J16" s="201"/>
      <c r="K16" s="201"/>
      <c r="L16" s="201"/>
    </row>
    <row r="17" customFormat="false" ht="15" hidden="false" customHeight="true" outlineLevel="0" collapsed="false">
      <c r="A17" s="23" t="s">
        <v>613</v>
      </c>
      <c r="B17" s="111" t="n">
        <v>0</v>
      </c>
      <c r="C17" s="111" t="n">
        <f aca="false">B8/(B9+B8+D6/(1-$D$8))</f>
        <v>0.161616161616162</v>
      </c>
      <c r="D17" s="111" t="n">
        <f aca="false">C17*(1-IF(B10=0,0,B10/(B11+B10)))</f>
        <v>0.161616161616162</v>
      </c>
      <c r="E17" s="25"/>
      <c r="F17" s="25"/>
      <c r="H17" s="215" t="s">
        <v>614</v>
      </c>
      <c r="I17" s="215"/>
      <c r="J17" s="215"/>
      <c r="K17" s="215"/>
      <c r="L17" s="216" t="s">
        <v>615</v>
      </c>
    </row>
    <row r="18" customFormat="false" ht="15" hidden="false" customHeight="true" outlineLevel="0" collapsed="false">
      <c r="A18" s="23" t="s">
        <v>616</v>
      </c>
      <c r="B18" s="111" t="n">
        <f aca="false">0</f>
        <v>0</v>
      </c>
      <c r="C18" s="111" t="n">
        <f aca="false">0</f>
        <v>0</v>
      </c>
      <c r="D18" s="111" t="n">
        <f aca="false">IF(B10=0,0,B10/(B11+B10))</f>
        <v>0</v>
      </c>
      <c r="E18" s="25"/>
      <c r="F18" s="25"/>
      <c r="H18" s="215" t="s">
        <v>617</v>
      </c>
      <c r="I18" s="215"/>
      <c r="J18" s="215"/>
      <c r="K18" s="215"/>
      <c r="L18" s="216" t="s">
        <v>615</v>
      </c>
    </row>
    <row r="19" customFormat="false" ht="15" hidden="false" customHeight="true" outlineLevel="0" collapsed="false">
      <c r="A19" s="106" t="s">
        <v>618</v>
      </c>
      <c r="B19" s="217" t="n">
        <f aca="false">SUM(B15:B18)</f>
        <v>1</v>
      </c>
      <c r="C19" s="217" t="n">
        <f aca="false">SUM(C15:C18)</f>
        <v>1</v>
      </c>
      <c r="D19" s="217" t="n">
        <f aca="false">SUM(D15:D18)</f>
        <v>1</v>
      </c>
      <c r="E19" s="25"/>
      <c r="F19" s="25"/>
      <c r="H19" s="215" t="s">
        <v>619</v>
      </c>
      <c r="I19" s="215"/>
      <c r="J19" s="215"/>
      <c r="K19" s="215"/>
      <c r="L19" s="216" t="s">
        <v>615</v>
      </c>
    </row>
    <row r="20" customFormat="false" ht="30" hidden="false" customHeight="true" outlineLevel="0" collapsed="false">
      <c r="A20" s="218" t="s">
        <v>620</v>
      </c>
      <c r="B20" s="218"/>
      <c r="C20" s="218"/>
      <c r="D20" s="218"/>
      <c r="E20" s="218"/>
      <c r="F20" s="218"/>
      <c r="H20" s="215" t="s">
        <v>621</v>
      </c>
      <c r="I20" s="215"/>
      <c r="J20" s="215"/>
      <c r="K20" s="215"/>
      <c r="L20" s="216" t="s">
        <v>615</v>
      </c>
    </row>
    <row r="21" customFormat="false" ht="15" hidden="false" customHeight="true" outlineLevel="0" collapsed="false">
      <c r="H21" s="215" t="s">
        <v>622</v>
      </c>
      <c r="I21" s="215"/>
      <c r="J21" s="215"/>
      <c r="K21" s="215"/>
      <c r="L21" s="216" t="s">
        <v>615</v>
      </c>
    </row>
    <row r="22" customFormat="false" ht="15" hidden="false" customHeight="true" outlineLevel="0" collapsed="false">
      <c r="A22" s="26" t="s">
        <v>623</v>
      </c>
      <c r="B22" s="26"/>
      <c r="C22" s="26"/>
      <c r="D22" s="26"/>
      <c r="E22" s="26"/>
      <c r="F22" s="26"/>
      <c r="H22" s="219" t="s">
        <v>624</v>
      </c>
      <c r="I22" s="219"/>
      <c r="J22" s="219"/>
      <c r="K22" s="219"/>
      <c r="L22" s="220" t="s">
        <v>615</v>
      </c>
    </row>
    <row r="23" customFormat="false" ht="15" hidden="false" customHeight="true" outlineLevel="0" collapsed="false">
      <c r="A23" s="20" t="s">
        <v>625</v>
      </c>
      <c r="B23" s="221" t="n">
        <v>170000</v>
      </c>
      <c r="C23" s="222" t="s">
        <v>626</v>
      </c>
      <c r="D23" s="222"/>
      <c r="E23" s="222"/>
      <c r="F23" s="222"/>
      <c r="H23" s="215" t="s">
        <v>627</v>
      </c>
      <c r="I23" s="215"/>
      <c r="J23" s="215"/>
      <c r="K23" s="215"/>
      <c r="L23" s="220" t="s">
        <v>615</v>
      </c>
    </row>
    <row r="24" customFormat="false" ht="15" hidden="false" customHeight="true" outlineLevel="0" collapsed="false">
      <c r="A24" s="20" t="s">
        <v>628</v>
      </c>
      <c r="B24" s="221" t="n">
        <v>90000</v>
      </c>
      <c r="C24" s="222" t="s">
        <v>629</v>
      </c>
      <c r="D24" s="222"/>
      <c r="E24" s="222"/>
      <c r="F24" s="222"/>
      <c r="H24" s="223" t="s">
        <v>630</v>
      </c>
      <c r="I24" s="223"/>
      <c r="J24" s="223"/>
      <c r="K24" s="223"/>
      <c r="L24" s="224" t="s">
        <v>631</v>
      </c>
    </row>
    <row r="25" customFormat="false" ht="15" hidden="false" customHeight="true" outlineLevel="0" collapsed="false">
      <c r="A25" s="20" t="s">
        <v>632</v>
      </c>
      <c r="B25" s="221" t="n">
        <v>70000</v>
      </c>
      <c r="C25" s="222" t="s">
        <v>633</v>
      </c>
      <c r="D25" s="222"/>
      <c r="E25" s="222"/>
      <c r="F25" s="222"/>
    </row>
    <row r="26" customFormat="false" ht="15" hidden="false" customHeight="true" outlineLevel="0" collapsed="false">
      <c r="A26" s="20" t="s">
        <v>634</v>
      </c>
      <c r="B26" s="221" t="n">
        <v>70000</v>
      </c>
      <c r="C26" s="222" t="s">
        <v>635</v>
      </c>
      <c r="D26" s="222"/>
      <c r="E26" s="222"/>
      <c r="F26" s="222"/>
    </row>
    <row r="27" customFormat="false" ht="15" hidden="false" customHeight="true" outlineLevel="0" collapsed="false">
      <c r="A27" s="20" t="s">
        <v>636</v>
      </c>
      <c r="B27" s="221" t="n">
        <v>50000</v>
      </c>
      <c r="C27" s="222" t="s">
        <v>637</v>
      </c>
      <c r="D27" s="222"/>
      <c r="E27" s="222"/>
      <c r="F27" s="222"/>
      <c r="H27" s="26" t="s">
        <v>638</v>
      </c>
      <c r="I27" s="26"/>
      <c r="J27" s="26"/>
      <c r="K27" s="26"/>
      <c r="L27" s="26"/>
    </row>
    <row r="28" customFormat="false" ht="15" hidden="false" customHeight="true" outlineLevel="0" collapsed="false">
      <c r="A28" s="225" t="s">
        <v>639</v>
      </c>
      <c r="B28" s="226" t="n">
        <v>150000</v>
      </c>
      <c r="C28" s="227" t="s">
        <v>640</v>
      </c>
      <c r="H28" s="228" t="s">
        <v>606</v>
      </c>
      <c r="I28" s="228" t="s">
        <v>641</v>
      </c>
      <c r="J28" s="228" t="s">
        <v>642</v>
      </c>
      <c r="K28" s="228" t="s">
        <v>643</v>
      </c>
      <c r="L28" s="228" t="s">
        <v>644</v>
      </c>
    </row>
    <row r="29" customFormat="false" ht="15" hidden="false" customHeight="true" outlineLevel="0" collapsed="false">
      <c r="A29" s="26" t="s">
        <v>645</v>
      </c>
      <c r="B29" s="26"/>
      <c r="C29" s="26"/>
      <c r="D29" s="26"/>
      <c r="E29" s="26"/>
      <c r="F29" s="26"/>
      <c r="H29" s="229" t="s">
        <v>646</v>
      </c>
      <c r="I29" s="230" t="s">
        <v>647</v>
      </c>
      <c r="J29" s="231" t="n">
        <v>0.75</v>
      </c>
      <c r="K29" s="232" t="n">
        <f aca="false">J29*$B$15</f>
        <v>0.717857142857143</v>
      </c>
      <c r="L29" s="232" t="n">
        <f aca="false">J29*$C$15</f>
        <v>0.58008658008658</v>
      </c>
    </row>
    <row r="30" customFormat="false" ht="15" hidden="false" customHeight="true" outlineLevel="0" collapsed="false">
      <c r="A30" s="211" t="s">
        <v>648</v>
      </c>
      <c r="B30" s="211" t="s">
        <v>649</v>
      </c>
      <c r="C30" s="211" t="s">
        <v>650</v>
      </c>
      <c r="D30" s="211" t="s">
        <v>651</v>
      </c>
      <c r="E30" s="211" t="s">
        <v>652</v>
      </c>
      <c r="H30" s="233" t="s">
        <v>653</v>
      </c>
      <c r="I30" s="230" t="s">
        <v>654</v>
      </c>
      <c r="J30" s="231" t="n">
        <v>0.05</v>
      </c>
      <c r="K30" s="232" t="n">
        <f aca="false">J30*$B$15</f>
        <v>0.0478571428571429</v>
      </c>
      <c r="L30" s="232" t="n">
        <f aca="false">J30*$C$15</f>
        <v>0.0386724386724387</v>
      </c>
    </row>
    <row r="31" customFormat="false" ht="30" hidden="false" customHeight="true" outlineLevel="0" collapsed="false">
      <c r="A31" s="199" t="s">
        <v>655</v>
      </c>
      <c r="B31" s="234" t="s">
        <v>656</v>
      </c>
      <c r="C31" s="234" t="s">
        <v>657</v>
      </c>
      <c r="D31" s="235" t="s">
        <v>658</v>
      </c>
      <c r="E31" s="234" t="s">
        <v>659</v>
      </c>
      <c r="F31" s="236"/>
      <c r="H31" s="233" t="s">
        <v>660</v>
      </c>
      <c r="I31" s="230" t="s">
        <v>661</v>
      </c>
      <c r="J31" s="231" t="n">
        <v>0.05</v>
      </c>
      <c r="K31" s="232" t="n">
        <f aca="false">J31*$B$15</f>
        <v>0.0478571428571429</v>
      </c>
      <c r="L31" s="232" t="n">
        <f aca="false">J31*$C$15</f>
        <v>0.0386724386724387</v>
      </c>
    </row>
    <row r="32" customFormat="false" ht="30" hidden="false" customHeight="true" outlineLevel="0" collapsed="false">
      <c r="A32" s="199" t="s">
        <v>662</v>
      </c>
      <c r="B32" s="234" t="s">
        <v>663</v>
      </c>
      <c r="C32" s="234" t="s">
        <v>664</v>
      </c>
      <c r="D32" s="235" t="s">
        <v>665</v>
      </c>
      <c r="E32" s="234" t="s">
        <v>666</v>
      </c>
      <c r="F32" s="236"/>
      <c r="H32" s="233" t="s">
        <v>667</v>
      </c>
      <c r="I32" s="230" t="s">
        <v>668</v>
      </c>
      <c r="J32" s="231" t="n">
        <v>0.02</v>
      </c>
      <c r="K32" s="232" t="n">
        <f aca="false">J32*$B$15</f>
        <v>0.0191428571428571</v>
      </c>
      <c r="L32" s="232" t="n">
        <f aca="false">J32*$C$15</f>
        <v>0.0154689754689755</v>
      </c>
    </row>
    <row r="33" customFormat="false" ht="30" hidden="false" customHeight="true" outlineLevel="0" collapsed="false">
      <c r="A33" s="199" t="s">
        <v>669</v>
      </c>
      <c r="B33" s="234" t="s">
        <v>670</v>
      </c>
      <c r="C33" s="234" t="s">
        <v>671</v>
      </c>
      <c r="D33" s="237" t="str">
        <f aca="false">IF(B52=0,"HIGH",CONCATENATE("HIGH — ",TEXT(1-B52,"0%")," diluted"))</f>
        <v>HIGH — 46% diluted</v>
      </c>
      <c r="E33" s="234" t="str">
        <f aca="false">CONCATENATE("Founders ",TEXT(B52,"0%")," — control at risk")</f>
        <v>Founders 54% — control at risk</v>
      </c>
      <c r="F33" s="236"/>
      <c r="H33" s="233" t="s">
        <v>672</v>
      </c>
      <c r="I33" s="230" t="s">
        <v>673</v>
      </c>
      <c r="J33" s="231" t="n">
        <v>0.015</v>
      </c>
      <c r="K33" s="232" t="n">
        <f aca="false">J33*$B$15</f>
        <v>0.0143571428571429</v>
      </c>
      <c r="L33" s="232" t="n">
        <f aca="false">J33*$C$15</f>
        <v>0.0116017316017316</v>
      </c>
    </row>
    <row r="34" customFormat="false" ht="15" hidden="false" customHeight="true" outlineLevel="0" collapsed="false">
      <c r="H34" s="238" t="s">
        <v>674</v>
      </c>
      <c r="I34" s="239" t="s">
        <v>675</v>
      </c>
      <c r="J34" s="240" t="n">
        <v>0.115</v>
      </c>
      <c r="K34" s="241" t="n">
        <f aca="false">J34*$B$15</f>
        <v>0.110071428571429</v>
      </c>
      <c r="L34" s="241" t="n">
        <f aca="false">J34*$C$15</f>
        <v>0.088946608946609</v>
      </c>
    </row>
    <row r="35" customFormat="false" ht="27.75" hidden="false" customHeight="true" outlineLevel="0" collapsed="false">
      <c r="A35" s="218" t="s">
        <v>676</v>
      </c>
      <c r="B35" s="218"/>
      <c r="C35" s="218"/>
      <c r="D35" s="218"/>
      <c r="E35" s="218"/>
      <c r="F35" s="218"/>
      <c r="H35" s="229" t="s">
        <v>291</v>
      </c>
      <c r="I35" s="242"/>
      <c r="J35" s="242"/>
      <c r="K35" s="231" t="n">
        <f aca="false">SUM(K29:K34)</f>
        <v>0.957142857142857</v>
      </c>
      <c r="L35" s="231" t="n">
        <f aca="false">SUM(L29:L34)</f>
        <v>0.773448773448774</v>
      </c>
    </row>
    <row r="37" customFormat="false" ht="15" hidden="false" customHeight="true" outlineLevel="0" collapsed="false">
      <c r="A37" s="26" t="s">
        <v>677</v>
      </c>
      <c r="B37" s="26"/>
      <c r="C37" s="26"/>
      <c r="D37" s="26"/>
      <c r="E37" s="26"/>
      <c r="F37" s="26"/>
    </row>
    <row r="38" customFormat="false" ht="15" hidden="false" customHeight="true" outlineLevel="0" collapsed="false">
      <c r="A38" s="106" t="s">
        <v>678</v>
      </c>
      <c r="B38" s="25"/>
      <c r="C38" s="25"/>
      <c r="D38" s="25"/>
      <c r="E38" s="25"/>
      <c r="F38" s="25"/>
    </row>
    <row r="39" customFormat="false" ht="23.25" hidden="false" customHeight="true" outlineLevel="0" collapsed="false">
      <c r="A39" s="23" t="s">
        <v>679</v>
      </c>
      <c r="B39" s="112" t="n">
        <f aca="false">'06 Cash-Flow'!B19</f>
        <v>3700000</v>
      </c>
      <c r="C39" s="25"/>
      <c r="D39" s="125" t="s">
        <v>680</v>
      </c>
      <c r="E39" s="125"/>
      <c r="F39" s="125"/>
    </row>
    <row r="40" customFormat="false" ht="15" hidden="false" customHeight="true" outlineLevel="0" collapsed="false">
      <c r="A40" s="23" t="s">
        <v>681</v>
      </c>
      <c r="B40" s="112" t="n">
        <f aca="false">'05 P&amp;L'!B22</f>
        <v>1520000</v>
      </c>
      <c r="C40" s="25"/>
      <c r="D40" s="125" t="s">
        <v>682</v>
      </c>
      <c r="E40" s="125"/>
      <c r="F40" s="125"/>
    </row>
    <row r="41" customFormat="false" ht="15" hidden="false" customHeight="true" outlineLevel="0" collapsed="false">
      <c r="A41" s="23" t="s">
        <v>683</v>
      </c>
      <c r="B41" s="112" t="n">
        <f aca="false">'05 P&amp;L'!B16</f>
        <v>550000</v>
      </c>
      <c r="C41" s="25"/>
      <c r="D41" s="125" t="s">
        <v>684</v>
      </c>
      <c r="E41" s="125"/>
      <c r="F41" s="125"/>
    </row>
    <row r="42" customFormat="false" ht="15" hidden="false" customHeight="true" outlineLevel="0" collapsed="false">
      <c r="A42" s="37" t="s">
        <v>685</v>
      </c>
      <c r="B42" s="116" t="n">
        <f aca="false">B39+B40+B41</f>
        <v>5770000</v>
      </c>
      <c r="C42" s="25"/>
      <c r="D42" s="25"/>
      <c r="E42" s="25"/>
      <c r="F42" s="25"/>
    </row>
    <row r="43" customFormat="false" ht="15" hidden="false" customHeight="true" outlineLevel="0" collapsed="false">
      <c r="A43" s="23" t="s">
        <v>686</v>
      </c>
      <c r="B43" s="112" t="n">
        <f aca="false">-(B6+D6)</f>
        <v>-600000</v>
      </c>
      <c r="C43" s="25"/>
      <c r="D43" s="125" t="s">
        <v>687</v>
      </c>
      <c r="E43" s="125"/>
      <c r="F43" s="125"/>
    </row>
    <row r="44" customFormat="false" ht="15" hidden="false" customHeight="true" outlineLevel="0" collapsed="false">
      <c r="A44" s="37" t="s">
        <v>688</v>
      </c>
      <c r="B44" s="116" t="n">
        <f aca="false">B42+B43</f>
        <v>5170000</v>
      </c>
      <c r="C44" s="25"/>
      <c r="D44" s="125" t="s">
        <v>689</v>
      </c>
      <c r="E44" s="125"/>
      <c r="F44" s="125"/>
    </row>
    <row r="46" customFormat="false" ht="15" hidden="false" customHeight="true" outlineLevel="0" collapsed="false">
      <c r="A46" s="106" t="s">
        <v>690</v>
      </c>
      <c r="B46" s="25"/>
      <c r="C46" s="25"/>
      <c r="D46" s="25"/>
      <c r="E46" s="25"/>
      <c r="F46" s="25"/>
    </row>
    <row r="47" customFormat="false" ht="15" hidden="false" customHeight="true" outlineLevel="0" collapsed="false">
      <c r="A47" s="23" t="s">
        <v>691</v>
      </c>
      <c r="B47" s="112" t="n">
        <f aca="false">'06 Cash-Flow'!C19+'06 Cash-Flow'!D19+'06 Cash-Flow'!E19</f>
        <v>15619500</v>
      </c>
      <c r="C47" s="25"/>
      <c r="D47" s="125" t="s">
        <v>692</v>
      </c>
      <c r="E47" s="125"/>
      <c r="F47" s="125"/>
    </row>
    <row r="48" customFormat="false" ht="15" hidden="false" customHeight="true" outlineLevel="0" collapsed="false">
      <c r="A48" s="23" t="s">
        <v>693</v>
      </c>
      <c r="B48" s="203" t="n">
        <v>50000000</v>
      </c>
      <c r="C48" s="25"/>
      <c r="D48" s="25"/>
      <c r="E48" s="25"/>
      <c r="F48" s="25"/>
    </row>
    <row r="50" customFormat="false" ht="15" hidden="false" customHeight="true" outlineLevel="0" collapsed="false">
      <c r="A50" s="26" t="s">
        <v>694</v>
      </c>
      <c r="B50" s="26"/>
      <c r="C50" s="26"/>
      <c r="D50" s="26"/>
      <c r="E50" s="26"/>
      <c r="F50" s="26"/>
    </row>
    <row r="51" customFormat="false" ht="15" hidden="false" customHeight="true" outlineLevel="0" collapsed="false">
      <c r="A51" s="211" t="s">
        <v>606</v>
      </c>
      <c r="B51" s="211" t="s">
        <v>695</v>
      </c>
      <c r="C51" s="211" t="s">
        <v>128</v>
      </c>
      <c r="D51" s="211" t="s">
        <v>128</v>
      </c>
      <c r="E51" s="211" t="s">
        <v>128</v>
      </c>
      <c r="F51" s="211" t="s">
        <v>128</v>
      </c>
    </row>
    <row r="52" customFormat="false" ht="15" hidden="false" customHeight="true" outlineLevel="0" collapsed="false">
      <c r="A52" s="37" t="s">
        <v>696</v>
      </c>
      <c r="B52" s="243" t="n">
        <f aca="false">(1-$B$12)*(1-B44/(B9+B44))*(1-B47/(B48+B47))</f>
        <v>0.542374435330265</v>
      </c>
      <c r="C52" s="25"/>
      <c r="D52" s="25"/>
      <c r="E52" s="25"/>
      <c r="F52" s="25"/>
    </row>
    <row r="53" customFormat="false" ht="15" hidden="false" customHeight="true" outlineLevel="0" collapsed="false">
      <c r="A53" s="23" t="s">
        <v>697</v>
      </c>
      <c r="B53" s="111" t="n">
        <f aca="false">$B$12*(1-B44/(B9+B44))*(1-B47/(B48+B47))</f>
        <v>0.0242854224774746</v>
      </c>
      <c r="C53" s="25"/>
      <c r="D53" s="25"/>
      <c r="E53" s="25"/>
      <c r="F53" s="25"/>
    </row>
    <row r="54" customFormat="false" ht="15" hidden="false" customHeight="true" outlineLevel="0" collapsed="false">
      <c r="A54" s="23" t="s">
        <v>698</v>
      </c>
      <c r="B54" s="111" t="n">
        <f aca="false">(B44/(B9+B44))*(1-B47/(B48+B47))</f>
        <v>0.195308764324401</v>
      </c>
      <c r="C54" s="25"/>
      <c r="D54" s="25"/>
      <c r="E54" s="25"/>
      <c r="F54" s="25"/>
    </row>
    <row r="55" customFormat="false" ht="15" hidden="false" customHeight="true" outlineLevel="0" collapsed="false">
      <c r="A55" s="23" t="s">
        <v>699</v>
      </c>
      <c r="B55" s="111" t="n">
        <f aca="false">B47/(B48+B47)</f>
        <v>0.238031377867859</v>
      </c>
      <c r="C55" s="25"/>
      <c r="D55" s="25"/>
      <c r="E55" s="25"/>
      <c r="F55" s="25"/>
    </row>
    <row r="56" customFormat="false" ht="15" hidden="false" customHeight="true" outlineLevel="0" collapsed="false">
      <c r="A56" s="37" t="s">
        <v>618</v>
      </c>
      <c r="B56" s="217" t="n">
        <f aca="false">SUM(B52:B55)</f>
        <v>1</v>
      </c>
      <c r="C56" s="25"/>
      <c r="D56" s="25"/>
      <c r="E56" s="25"/>
      <c r="F56" s="25"/>
    </row>
    <row r="57" customFormat="false" ht="31.5" hidden="false" customHeight="true" outlineLevel="0" collapsed="false">
      <c r="A57" s="218" t="s">
        <v>700</v>
      </c>
      <c r="B57" s="218"/>
      <c r="C57" s="218"/>
      <c r="D57" s="218"/>
      <c r="E57" s="218"/>
      <c r="F57" s="218"/>
    </row>
    <row r="60" customFormat="false" ht="15" hidden="false" customHeight="true" outlineLevel="0" collapsed="false">
      <c r="A60" s="201" t="s">
        <v>701</v>
      </c>
      <c r="B60" s="201"/>
      <c r="C60" s="201"/>
      <c r="D60" s="201"/>
      <c r="E60" s="201"/>
      <c r="F60" s="201"/>
    </row>
    <row r="61" customFormat="false" ht="25.5" hidden="false" customHeight="true" outlineLevel="0" collapsed="false">
      <c r="A61" s="228" t="s">
        <v>702</v>
      </c>
      <c r="B61" s="221" t="n">
        <v>622125</v>
      </c>
      <c r="C61" s="222" t="s">
        <v>703</v>
      </c>
      <c r="D61" s="222"/>
      <c r="E61" s="222"/>
      <c r="F61" s="222"/>
    </row>
    <row r="62" customFormat="false" ht="25.5" hidden="false" customHeight="true" outlineLevel="0" collapsed="false">
      <c r="A62" s="20" t="s">
        <v>704</v>
      </c>
      <c r="B62" s="221" t="n">
        <v>149900</v>
      </c>
      <c r="C62" s="222" t="s">
        <v>705</v>
      </c>
      <c r="D62" s="222"/>
      <c r="E62" s="222"/>
      <c r="F62" s="222"/>
    </row>
    <row r="63" customFormat="false" ht="25.5" hidden="false" customHeight="true" outlineLevel="0" collapsed="false">
      <c r="A63" s="20" t="s">
        <v>706</v>
      </c>
      <c r="B63" s="221" t="n">
        <v>472225</v>
      </c>
      <c r="C63" s="222" t="s">
        <v>707</v>
      </c>
      <c r="D63" s="222"/>
      <c r="E63" s="222"/>
      <c r="F63" s="222"/>
    </row>
    <row r="64" customFormat="false" ht="25.5" hidden="false" customHeight="true" outlineLevel="0" collapsed="false">
      <c r="A64" s="20" t="s">
        <v>708</v>
      </c>
      <c r="B64" s="20" t="s">
        <v>128</v>
      </c>
      <c r="C64" s="222" t="s">
        <v>709</v>
      </c>
      <c r="D64" s="222"/>
      <c r="E64" s="222"/>
      <c r="F64" s="222"/>
    </row>
  </sheetData>
  <mergeCells count="46">
    <mergeCell ref="A2:F2"/>
    <mergeCell ref="A4:F4"/>
    <mergeCell ref="H4:L4"/>
    <mergeCell ref="H5:K5"/>
    <mergeCell ref="H6:K6"/>
    <mergeCell ref="H7:K7"/>
    <mergeCell ref="H8:K8"/>
    <mergeCell ref="H9:K9"/>
    <mergeCell ref="H10:K10"/>
    <mergeCell ref="H11:K11"/>
    <mergeCell ref="H12:K12"/>
    <mergeCell ref="A13:F13"/>
    <mergeCell ref="H13:K13"/>
    <mergeCell ref="H16:L16"/>
    <mergeCell ref="H17:K17"/>
    <mergeCell ref="H18:K18"/>
    <mergeCell ref="H19:K19"/>
    <mergeCell ref="A20:F20"/>
    <mergeCell ref="H20:K20"/>
    <mergeCell ref="H21:K21"/>
    <mergeCell ref="A22:F22"/>
    <mergeCell ref="H22:K22"/>
    <mergeCell ref="C23:F23"/>
    <mergeCell ref="H23:K23"/>
    <mergeCell ref="C24:F24"/>
    <mergeCell ref="H24:K24"/>
    <mergeCell ref="C25:F25"/>
    <mergeCell ref="C26:F26"/>
    <mergeCell ref="C27:F27"/>
    <mergeCell ref="H27:L27"/>
    <mergeCell ref="A29:F29"/>
    <mergeCell ref="A35:F35"/>
    <mergeCell ref="A37:F37"/>
    <mergeCell ref="D39:F39"/>
    <mergeCell ref="D40:F40"/>
    <mergeCell ref="D41:F41"/>
    <mergeCell ref="D43:F43"/>
    <mergeCell ref="D44:F44"/>
    <mergeCell ref="D47:F47"/>
    <mergeCell ref="A50:F50"/>
    <mergeCell ref="A57:F57"/>
    <mergeCell ref="A60:F60"/>
    <mergeCell ref="C61:F61"/>
    <mergeCell ref="C62:F62"/>
    <mergeCell ref="C63:F63"/>
    <mergeCell ref="C64:F64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2"/>
    <col collapsed="false" customWidth="true" hidden="false" outlineLevel="0" max="5" min="2" style="1" width="16"/>
    <col collapsed="false" customWidth="true" hidden="false" outlineLevel="0" max="6" min="6" style="1" width="14"/>
    <col collapsed="false" customWidth="true" hidden="false" outlineLevel="0" max="7" min="7" style="1" width="10"/>
    <col collapsed="false" customWidth="true" hidden="false" outlineLevel="0" max="8" min="8" style="1" width="9"/>
    <col collapsed="false" customWidth="true" hidden="false" outlineLevel="0" max="9" min="9" style="1" width="14"/>
    <col collapsed="false" customWidth="true" hidden="false" outlineLevel="0" max="10" min="10" style="1" width="10"/>
    <col collapsed="false" customWidth="true" hidden="false" outlineLevel="0" max="11" min="11" style="1" width="9"/>
  </cols>
  <sheetData>
    <row r="1" customFormat="false" ht="17.25" hidden="false" customHeight="true" outlineLevel="0" collapsed="false">
      <c r="A1" s="244" t="s">
        <v>710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</row>
    <row r="2" customFormat="false" ht="15" hidden="false" customHeight="true" outlineLevel="0" collapsed="false">
      <c r="A2" s="4" t="s">
        <v>711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4" customFormat="false" ht="15" hidden="false" customHeight="true" outlineLevel="0" collapsed="false">
      <c r="A4" s="162" t="s">
        <v>712</v>
      </c>
      <c r="B4" s="203" t="n">
        <v>270000000</v>
      </c>
    </row>
    <row r="5" customFormat="false" ht="15" hidden="false" customHeight="true" outlineLevel="0" collapsed="false">
      <c r="A5" s="162" t="s">
        <v>713</v>
      </c>
      <c r="B5" s="203" t="n">
        <f aca="false">'08 Valuation'!B33</f>
        <v>1002872324.07143</v>
      </c>
    </row>
    <row r="6" customFormat="false" ht="15" hidden="false" customHeight="true" outlineLevel="0" collapsed="false">
      <c r="A6" s="162" t="s">
        <v>714</v>
      </c>
      <c r="B6" s="173" t="n">
        <v>0.35</v>
      </c>
    </row>
    <row r="7" customFormat="false" ht="15" hidden="false" customHeight="true" outlineLevel="0" collapsed="false">
      <c r="A7" s="162" t="s">
        <v>715</v>
      </c>
      <c r="B7" s="174" t="n">
        <v>2035</v>
      </c>
    </row>
    <row r="9" customFormat="false" ht="15" hidden="false" customHeight="true" outlineLevel="0" collapsed="false">
      <c r="A9" s="245" t="s">
        <v>716</v>
      </c>
      <c r="B9" s="245" t="s">
        <v>717</v>
      </c>
      <c r="C9" s="245" t="s">
        <v>718</v>
      </c>
      <c r="D9" s="245" t="s">
        <v>719</v>
      </c>
      <c r="E9" s="245" t="s">
        <v>720</v>
      </c>
      <c r="F9" s="245" t="s">
        <v>721</v>
      </c>
      <c r="G9" s="245" t="s">
        <v>722</v>
      </c>
      <c r="H9" s="245" t="s">
        <v>723</v>
      </c>
      <c r="I9" s="245" t="s">
        <v>724</v>
      </c>
      <c r="J9" s="245" t="s">
        <v>722</v>
      </c>
      <c r="K9" s="245" t="s">
        <v>723</v>
      </c>
    </row>
    <row r="10" customFormat="false" ht="15" hidden="false" customHeight="true" outlineLevel="0" collapsed="false">
      <c r="A10" s="229" t="s">
        <v>725</v>
      </c>
      <c r="B10" s="246" t="n">
        <f aca="false">'09 Funding'!B6</f>
        <v>150000</v>
      </c>
      <c r="C10" s="246" t="n">
        <f aca="false">'09 Funding'!B7</f>
        <v>3500000</v>
      </c>
      <c r="D10" s="247" t="n">
        <f aca="false">'09 Funding'!B12*('09 Funding'!B9/('09 Funding'!B9+'09 Funding'!B8+'09 Funding'!D6/(1-'09 Funding'!D8)))</f>
        <v>0.0346320346320346</v>
      </c>
      <c r="E10" s="247" t="n">
        <f aca="false">D10*(1-$B$6)</f>
        <v>0.0225108225108225</v>
      </c>
      <c r="F10" s="248" t="n">
        <f aca="false">E10*$B$4</f>
        <v>6077922.07792208</v>
      </c>
      <c r="G10" s="249" t="n">
        <f aca="false">IF(B10=0,0,F10/B10)</f>
        <v>40.5194805194805</v>
      </c>
      <c r="H10" s="250" t="n">
        <f aca="false">IF(OR(B10=0,G10&lt;=0),0,G10^(1/($B$7-2026))-1)</f>
        <v>0.508791812749749</v>
      </c>
      <c r="I10" s="248" t="n">
        <f aca="false">E10*$B$5</f>
        <v>22575480.888188</v>
      </c>
      <c r="J10" s="251" t="n">
        <f aca="false">IF(B10=0,0,I10/B10)</f>
        <v>150.503205921253</v>
      </c>
      <c r="K10" s="252" t="n">
        <f aca="false">IF(OR(B10=0,J10&lt;=0),0,J10^(1/($B$7-2026))-1)</f>
        <v>0.74561927170385</v>
      </c>
    </row>
    <row r="11" customFormat="false" ht="15" hidden="false" customHeight="true" outlineLevel="0" collapsed="false">
      <c r="A11" s="229" t="s">
        <v>613</v>
      </c>
      <c r="B11" s="246" t="n">
        <f aca="false">'09 Funding'!B8</f>
        <v>3000000</v>
      </c>
      <c r="C11" s="246" t="n">
        <f aca="false">'09 Funding'!B9</f>
        <v>15000000</v>
      </c>
      <c r="D11" s="247" t="n">
        <f aca="false">'09 Funding'!D17</f>
        <v>0.161616161616162</v>
      </c>
      <c r="E11" s="247" t="n">
        <f aca="false">D11*(1-$B$6)</f>
        <v>0.105050505050505</v>
      </c>
      <c r="F11" s="248" t="n">
        <f aca="false">E11*$B$4</f>
        <v>28363636.3636364</v>
      </c>
      <c r="G11" s="249" t="n">
        <f aca="false">IF(B11=0,0,F11/B11)</f>
        <v>9.45454545454546</v>
      </c>
      <c r="H11" s="250" t="n">
        <f aca="false">IF(OR(B11=0,G11&lt;=0),0,G11^(1/($B$7-2027))-1)</f>
        <v>0.324204568212205</v>
      </c>
      <c r="I11" s="248" t="n">
        <f aca="false">E11*$B$5</f>
        <v>105352244.144877</v>
      </c>
      <c r="J11" s="251" t="n">
        <f aca="false">IF(B11=0,0,I11/B11)</f>
        <v>35.1174147149591</v>
      </c>
      <c r="K11" s="252" t="n">
        <f aca="false">IF(OR(B11=0,J11&lt;=0),0,J11^(1/($B$7-2027))-1)</f>
        <v>0.560236081559689</v>
      </c>
    </row>
    <row r="12" customFormat="false" ht="15" hidden="false" customHeight="true" outlineLevel="0" collapsed="false">
      <c r="A12" s="229" t="s">
        <v>726</v>
      </c>
      <c r="B12" s="246" t="n">
        <f aca="false">'09 Funding'!B10</f>
        <v>0</v>
      </c>
      <c r="C12" s="246" t="n">
        <f aca="false">'09 Funding'!B11</f>
        <v>50000000</v>
      </c>
      <c r="D12" s="247" t="n">
        <f aca="false">'09 Funding'!D18</f>
        <v>0</v>
      </c>
      <c r="E12" s="247" t="n">
        <f aca="false">D12*(1-$B$6)</f>
        <v>0</v>
      </c>
      <c r="F12" s="248" t="n">
        <f aca="false">E12*$B$4</f>
        <v>0</v>
      </c>
      <c r="G12" s="249" t="n">
        <f aca="false">IF(B12=0,0,F12/B12)</f>
        <v>0</v>
      </c>
      <c r="H12" s="250" t="n">
        <f aca="false">IF(OR(B12=0,G12&lt;=0),0,G12^(1/($B$7-2028))-1)</f>
        <v>0</v>
      </c>
      <c r="I12" s="248" t="n">
        <f aca="false">E12*$B$5</f>
        <v>0</v>
      </c>
      <c r="J12" s="251" t="n">
        <f aca="false">IF(B12=0,0,I12/B12)</f>
        <v>0</v>
      </c>
      <c r="K12" s="252" t="n">
        <f aca="false">IF(OR(B12=0,J12&lt;=0),0,J12^(1/($B$7-2028))-1)</f>
        <v>0</v>
      </c>
    </row>
    <row r="14" customFormat="false" ht="55.5" hidden="false" customHeight="true" outlineLevel="0" collapsed="false">
      <c r="A14" s="158" t="s">
        <v>727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</sheetData>
  <mergeCells count="3">
    <mergeCell ref="A1:K1"/>
    <mergeCell ref="A2:K2"/>
    <mergeCell ref="A14:K14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19"/>
  <sheetViews>
    <sheetView showFormulas="false" showGridLines="true" showRowColHeaders="true" showZeros="true" rightToLeft="false" tabSelected="false" showOutlineSymbols="true" defaultGridColor="true" view="normal" topLeftCell="A1" colorId="64" zoomScale="76" zoomScaleNormal="76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6"/>
    <col collapsed="false" customWidth="true" hidden="false" outlineLevel="0" max="20" min="2" style="1" width="12"/>
  </cols>
  <sheetData>
    <row r="1" customFormat="false" ht="17.25" hidden="false" customHeight="true" outlineLevel="0" collapsed="false">
      <c r="A1" s="244" t="s">
        <v>728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</row>
    <row r="2" customFormat="false" ht="15" hidden="false" customHeight="true" outlineLevel="0" collapsed="false">
      <c r="A2" s="4" t="s">
        <v>729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15" hidden="false" customHeight="true" outlineLevel="0" collapsed="false"/>
    <row r="4" customFormat="false" ht="15" hidden="false" customHeight="true" outlineLevel="0" collapsed="false">
      <c r="A4" s="162" t="s">
        <v>730</v>
      </c>
      <c r="B4" s="203" t="n">
        <v>600000</v>
      </c>
      <c r="D4" s="26" t="s">
        <v>731</v>
      </c>
      <c r="E4" s="26"/>
      <c r="F4" s="26"/>
      <c r="G4" s="26"/>
      <c r="H4" s="26"/>
      <c r="I4" s="26"/>
      <c r="J4" s="26"/>
      <c r="K4" s="26"/>
    </row>
    <row r="5" customFormat="false" ht="30" hidden="false" customHeight="true" outlineLevel="0" collapsed="false">
      <c r="A5" s="162" t="s">
        <v>732</v>
      </c>
      <c r="B5" s="203" t="n">
        <v>3000000</v>
      </c>
      <c r="D5" s="253" t="s">
        <v>733</v>
      </c>
      <c r="E5" s="253"/>
      <c r="F5" s="253"/>
      <c r="G5" s="253"/>
      <c r="H5" s="253"/>
      <c r="I5" s="253"/>
      <c r="J5" s="253"/>
      <c r="K5" s="253"/>
    </row>
    <row r="6" customFormat="false" ht="15" hidden="false" customHeight="true" outlineLevel="0" collapsed="false">
      <c r="A6" s="162" t="s">
        <v>734</v>
      </c>
      <c r="B6" s="174" t="n">
        <v>8</v>
      </c>
      <c r="D6" s="30" t="str">
        <f aca="false">"Pre-seed SAFE cap ~"&amp;TEXT('08 Valuation'!B39,"$#,##0")&amp;" (ceiling)  →  seed entry ~"&amp;TEXT('09 Funding'!B9,"$#,##0")&amp;"  =  ≈"&amp;TEXT('09 Funding'!B9/'08 Valuation'!B39,"0.0")&amp;"× step-up"</f>
        <v>Pre-seed SAFE cap ~$4,500,000 (ceiling)  →  seed entry ~$15,000,000  =  ≈3.3× step-up</v>
      </c>
      <c r="E6" s="30"/>
      <c r="F6" s="30"/>
      <c r="G6" s="30"/>
      <c r="H6" s="30"/>
      <c r="I6" s="30"/>
      <c r="J6" s="30"/>
      <c r="K6" s="30"/>
    </row>
    <row r="7" customFormat="false" ht="15" hidden="false" customHeight="true" outlineLevel="0" collapsed="false">
      <c r="A7" s="162"/>
      <c r="B7" s="254"/>
    </row>
    <row r="8" customFormat="false" ht="15" hidden="false" customHeight="true" outlineLevel="0" collapsed="false">
      <c r="A8" s="201" t="s">
        <v>735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</row>
    <row r="9" customFormat="false" ht="15" hidden="false" customHeight="true" outlineLevel="0" collapsed="false">
      <c r="A9" s="255" t="s">
        <v>736</v>
      </c>
      <c r="B9" s="256" t="s">
        <v>737</v>
      </c>
      <c r="C9" s="255" t="s">
        <v>738</v>
      </c>
      <c r="D9" s="255" t="s">
        <v>739</v>
      </c>
      <c r="E9" s="255" t="s">
        <v>740</v>
      </c>
      <c r="F9" s="255" t="s">
        <v>741</v>
      </c>
      <c r="G9" s="255" t="s">
        <v>742</v>
      </c>
      <c r="H9" s="255" t="s">
        <v>743</v>
      </c>
      <c r="I9" s="255" t="s">
        <v>744</v>
      </c>
      <c r="J9" s="255" t="s">
        <v>745</v>
      </c>
      <c r="K9" s="255" t="s">
        <v>746</v>
      </c>
      <c r="L9" s="257"/>
      <c r="M9" s="257"/>
      <c r="N9" s="257"/>
      <c r="O9" s="257"/>
      <c r="P9" s="257"/>
      <c r="Q9" s="257"/>
      <c r="R9" s="257"/>
      <c r="S9" s="257"/>
    </row>
    <row r="10" customFormat="false" ht="15" hidden="false" customHeight="true" outlineLevel="0" collapsed="false">
      <c r="A10" s="225" t="s">
        <v>747</v>
      </c>
      <c r="B10" s="258" t="n">
        <v>170000</v>
      </c>
      <c r="C10" s="259" t="n">
        <v>60000</v>
      </c>
      <c r="D10" s="259" t="n">
        <v>60000</v>
      </c>
      <c r="E10" s="259" t="n">
        <v>50000</v>
      </c>
      <c r="F10" s="259" t="n">
        <v>0</v>
      </c>
      <c r="G10" s="259" t="n">
        <v>0</v>
      </c>
      <c r="H10" s="259" t="n">
        <v>0</v>
      </c>
      <c r="I10" s="259" t="n">
        <v>0</v>
      </c>
      <c r="J10" s="259" t="n">
        <v>0</v>
      </c>
      <c r="K10" s="260" t="n">
        <f aca="false">SUM(C10:J10)-B10</f>
        <v>0</v>
      </c>
      <c r="L10" s="261"/>
      <c r="M10" s="261"/>
      <c r="N10" s="261"/>
      <c r="O10" s="261"/>
      <c r="P10" s="261"/>
      <c r="Q10" s="261"/>
      <c r="R10" s="261"/>
      <c r="S10" s="261"/>
    </row>
    <row r="11" customFormat="false" ht="15" hidden="false" customHeight="true" outlineLevel="0" collapsed="false">
      <c r="A11" s="225" t="s">
        <v>748</v>
      </c>
      <c r="B11" s="262" t="n">
        <v>90000</v>
      </c>
      <c r="C11" s="263" t="n">
        <v>0</v>
      </c>
      <c r="D11" s="263" t="n">
        <v>15000</v>
      </c>
      <c r="E11" s="263" t="n">
        <v>15000</v>
      </c>
      <c r="F11" s="263" t="n">
        <v>15000</v>
      </c>
      <c r="G11" s="263" t="n">
        <v>15000</v>
      </c>
      <c r="H11" s="263" t="n">
        <v>15000</v>
      </c>
      <c r="I11" s="263" t="n">
        <v>15000</v>
      </c>
      <c r="J11" s="263" t="n">
        <v>0</v>
      </c>
      <c r="K11" s="264" t="n">
        <f aca="false">SUM(C11:J11)-B11</f>
        <v>0</v>
      </c>
      <c r="L11" s="265"/>
      <c r="M11" s="265"/>
      <c r="N11" s="261"/>
      <c r="O11" s="261"/>
      <c r="P11" s="261"/>
      <c r="Q11" s="261"/>
      <c r="R11" s="261"/>
      <c r="S11" s="261"/>
    </row>
    <row r="12" customFormat="false" ht="15" hidden="false" customHeight="true" outlineLevel="0" collapsed="false">
      <c r="A12" s="225" t="s">
        <v>749</v>
      </c>
      <c r="B12" s="258" t="n">
        <v>70000</v>
      </c>
      <c r="C12" s="259" t="n">
        <v>20000</v>
      </c>
      <c r="D12" s="259" t="n">
        <v>20000</v>
      </c>
      <c r="E12" s="259" t="n">
        <v>15000</v>
      </c>
      <c r="F12" s="259" t="n">
        <v>15000</v>
      </c>
      <c r="G12" s="259" t="n">
        <v>0</v>
      </c>
      <c r="H12" s="259" t="n">
        <v>0</v>
      </c>
      <c r="I12" s="259" t="n">
        <v>0</v>
      </c>
      <c r="J12" s="259" t="n">
        <v>0</v>
      </c>
      <c r="K12" s="260" t="n">
        <f aca="false">SUM(C12:J12)-B12</f>
        <v>0</v>
      </c>
      <c r="L12" s="261"/>
      <c r="M12" s="261"/>
      <c r="N12" s="261"/>
      <c r="O12" s="261"/>
      <c r="P12" s="261"/>
      <c r="Q12" s="261"/>
      <c r="R12" s="261"/>
      <c r="S12" s="261"/>
    </row>
    <row r="13" customFormat="false" ht="15" hidden="false" customHeight="true" outlineLevel="0" collapsed="false">
      <c r="A13" s="225" t="s">
        <v>750</v>
      </c>
      <c r="B13" s="258" t="n">
        <v>54000</v>
      </c>
      <c r="C13" s="259" t="n">
        <v>24000</v>
      </c>
      <c r="D13" s="259" t="n">
        <v>16000</v>
      </c>
      <c r="E13" s="259" t="n">
        <v>8000</v>
      </c>
      <c r="F13" s="259" t="n">
        <v>3000</v>
      </c>
      <c r="G13" s="259" t="n">
        <v>3000</v>
      </c>
      <c r="H13" s="259" t="n">
        <v>0</v>
      </c>
      <c r="I13" s="259" t="n">
        <v>0</v>
      </c>
      <c r="J13" s="259" t="n">
        <v>0</v>
      </c>
      <c r="K13" s="260" t="n">
        <f aca="false">SUM(C13:J13)-B13</f>
        <v>0</v>
      </c>
      <c r="L13" s="261"/>
      <c r="M13" s="261"/>
      <c r="N13" s="266"/>
      <c r="O13" s="266"/>
      <c r="P13" s="266"/>
      <c r="Q13" s="266"/>
      <c r="R13" s="266"/>
      <c r="S13" s="266"/>
    </row>
    <row r="14" customFormat="false" ht="15" hidden="false" customHeight="true" outlineLevel="0" collapsed="false">
      <c r="A14" s="225" t="s">
        <v>751</v>
      </c>
      <c r="B14" s="258" t="n">
        <v>34000</v>
      </c>
      <c r="C14" s="259" t="n">
        <v>7000</v>
      </c>
      <c r="D14" s="259" t="n">
        <v>7000</v>
      </c>
      <c r="E14" s="259" t="n">
        <v>7000</v>
      </c>
      <c r="F14" s="259" t="n">
        <v>7000</v>
      </c>
      <c r="G14" s="259" t="n">
        <v>3000</v>
      </c>
      <c r="H14" s="259" t="n">
        <v>3000</v>
      </c>
      <c r="I14" s="259" t="n">
        <v>0</v>
      </c>
      <c r="J14" s="259" t="n">
        <v>0</v>
      </c>
      <c r="K14" s="260" t="n">
        <f aca="false">SUM(C14:J14)-B14</f>
        <v>0</v>
      </c>
      <c r="L14" s="261"/>
      <c r="M14" s="261"/>
    </row>
    <row r="15" customFormat="false" ht="15" hidden="false" customHeight="true" outlineLevel="0" collapsed="false">
      <c r="A15" s="225" t="s">
        <v>752</v>
      </c>
      <c r="B15" s="258" t="n">
        <v>182000</v>
      </c>
      <c r="C15" s="259" t="n">
        <v>23000</v>
      </c>
      <c r="D15" s="259" t="n">
        <v>23000</v>
      </c>
      <c r="E15" s="259" t="n">
        <v>23000</v>
      </c>
      <c r="F15" s="259" t="n">
        <v>23000</v>
      </c>
      <c r="G15" s="259" t="n">
        <v>22000</v>
      </c>
      <c r="H15" s="259" t="n">
        <v>22000</v>
      </c>
      <c r="I15" s="259" t="n">
        <v>23000</v>
      </c>
      <c r="J15" s="259" t="n">
        <v>23000</v>
      </c>
      <c r="K15" s="260" t="n">
        <f aca="false">SUM(C15:J15)-B15</f>
        <v>0</v>
      </c>
      <c r="L15" s="266"/>
      <c r="M15" s="266"/>
    </row>
    <row r="16" customFormat="false" ht="15" hidden="false" customHeight="true" outlineLevel="0" collapsed="false">
      <c r="A16" s="163" t="s">
        <v>753</v>
      </c>
      <c r="B16" s="267" t="n">
        <f aca="false">SUM(B10:B15)</f>
        <v>600000</v>
      </c>
      <c r="C16" s="268" t="n">
        <f aca="false">SUM(C10:C15)</f>
        <v>134000</v>
      </c>
      <c r="D16" s="268" t="n">
        <f aca="false">SUM(D10:D15)</f>
        <v>141000</v>
      </c>
      <c r="E16" s="268" t="n">
        <f aca="false">SUM(E10:E15)</f>
        <v>118000</v>
      </c>
      <c r="F16" s="268" t="n">
        <f aca="false">SUM(F10:F15)</f>
        <v>63000</v>
      </c>
      <c r="G16" s="268" t="n">
        <f aca="false">SUM(G10:G15)</f>
        <v>43000</v>
      </c>
      <c r="H16" s="268" t="n">
        <f aca="false">SUM(H10:H15)</f>
        <v>40000</v>
      </c>
      <c r="I16" s="268" t="n">
        <f aca="false">SUM(I10:I15)</f>
        <v>38000</v>
      </c>
      <c r="J16" s="268" t="n">
        <f aca="false">SUM(J10:J15)</f>
        <v>23000</v>
      </c>
    </row>
    <row r="17" customFormat="false" ht="15" hidden="false" customHeight="true" outlineLevel="0" collapsed="false">
      <c r="A17" s="210" t="s">
        <v>754</v>
      </c>
      <c r="B17" s="269"/>
      <c r="C17" s="270" t="n">
        <f aca="false">C16</f>
        <v>134000</v>
      </c>
      <c r="D17" s="270" t="n">
        <f aca="false">C17+D16</f>
        <v>275000</v>
      </c>
      <c r="E17" s="270" t="n">
        <f aca="false">D17+E16</f>
        <v>393000</v>
      </c>
      <c r="F17" s="270" t="n">
        <f aca="false">E17+F16</f>
        <v>456000</v>
      </c>
      <c r="G17" s="270" t="n">
        <f aca="false">F17+G16</f>
        <v>499000</v>
      </c>
      <c r="H17" s="270" t="n">
        <f aca="false">G17+H16</f>
        <v>539000</v>
      </c>
      <c r="I17" s="270" t="n">
        <f aca="false">H17+I16</f>
        <v>577000</v>
      </c>
      <c r="J17" s="270" t="n">
        <f aca="false">I17+J16</f>
        <v>600000</v>
      </c>
    </row>
    <row r="18" customFormat="false" ht="42" hidden="false" customHeight="true" outlineLevel="0" collapsed="false">
      <c r="A18" s="271"/>
      <c r="B18" s="272"/>
    </row>
    <row r="19" customFormat="false" ht="15" hidden="false" customHeight="true" outlineLevel="0" collapsed="false">
      <c r="A19" s="163" t="s">
        <v>755</v>
      </c>
      <c r="C19" s="261" t="n">
        <f aca="false">$B$4</f>
        <v>600000</v>
      </c>
      <c r="D19" s="261" t="n">
        <f aca="false">C20</f>
        <v>466000</v>
      </c>
      <c r="E19" s="261" t="n">
        <f aca="false">D20</f>
        <v>325000</v>
      </c>
      <c r="F19" s="261" t="n">
        <f aca="false">E20</f>
        <v>207000</v>
      </c>
      <c r="G19" s="261" t="n">
        <f aca="false">F20</f>
        <v>144000</v>
      </c>
      <c r="H19" s="261" t="n">
        <f aca="false">G20</f>
        <v>101000</v>
      </c>
      <c r="I19" s="261" t="n">
        <f aca="false">H20</f>
        <v>61000</v>
      </c>
      <c r="J19" s="261" t="n">
        <f aca="false">I20</f>
        <v>23000</v>
      </c>
    </row>
    <row r="20" customFormat="false" ht="54" hidden="false" customHeight="true" outlineLevel="0" collapsed="false">
      <c r="A20" s="273" t="s">
        <v>756</v>
      </c>
      <c r="C20" s="226" t="n">
        <f aca="false">C19-C16+IF(COLUMN()-2=$B$6,$B$5,0)</f>
        <v>466000</v>
      </c>
      <c r="D20" s="226" t="n">
        <f aca="false">D19-D16+IF(COLUMN()-2=$B$6,$B$5,0)</f>
        <v>325000</v>
      </c>
      <c r="E20" s="226" t="n">
        <f aca="false">E19-E16+IF(COLUMN()-2=$B$6,$B$5,0)</f>
        <v>207000</v>
      </c>
      <c r="F20" s="226" t="n">
        <f aca="false">F19-F16+IF(COLUMN()-2=$B$6,$B$5,0)</f>
        <v>144000</v>
      </c>
      <c r="G20" s="226" t="n">
        <f aca="false">G19-G16+IF(COLUMN()-2=$B$6,$B$5,0)</f>
        <v>101000</v>
      </c>
      <c r="H20" s="226" t="n">
        <f aca="false">H19-H16+IF(COLUMN()-2=$B$6,$B$5,0)</f>
        <v>61000</v>
      </c>
      <c r="I20" s="226" t="n">
        <f aca="false">I19-I16+IF(COLUMN()-2=$B$6,$B$5,0)</f>
        <v>23000</v>
      </c>
      <c r="J20" s="226" t="n">
        <f aca="false">J19-J16+IF(COLUMN()-2=$B$6,$B$5,0)</f>
        <v>3000000</v>
      </c>
    </row>
    <row r="22" customFormat="false" ht="15" hidden="false" customHeight="true" outlineLevel="0" collapsed="false">
      <c r="A22" s="274" t="s">
        <v>757</v>
      </c>
      <c r="B22" s="274"/>
      <c r="C22" s="274"/>
      <c r="D22" s="274"/>
      <c r="E22" s="274"/>
      <c r="F22" s="274"/>
      <c r="G22" s="274"/>
      <c r="H22" s="274"/>
      <c r="I22" s="274"/>
      <c r="J22" s="274"/>
      <c r="K22" s="274"/>
    </row>
    <row r="24" customFormat="false" ht="15" hidden="false" customHeight="true" outlineLevel="0" collapsed="false">
      <c r="A24" s="4" t="s">
        <v>758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customFormat="false" ht="15" hidden="false" customHeight="true" outlineLevel="0" collapsed="false">
      <c r="A25" s="162"/>
      <c r="B25" s="275"/>
      <c r="D25" s="276"/>
    </row>
    <row r="26" customFormat="false" ht="15" hidden="false" customHeight="true" outlineLevel="0" collapsed="false">
      <c r="A26" s="162"/>
      <c r="B26" s="275"/>
      <c r="D26" s="212"/>
      <c r="H26" s="277"/>
      <c r="J26" s="278"/>
    </row>
    <row r="27" customFormat="false" ht="15" hidden="false" customHeight="true" outlineLevel="0" collapsed="false">
      <c r="A27" s="162"/>
      <c r="B27" s="275"/>
      <c r="D27" s="225"/>
      <c r="H27" s="279"/>
      <c r="J27" s="280"/>
    </row>
    <row r="28" customFormat="false" ht="15" hidden="false" customHeight="true" outlineLevel="0" collapsed="false">
      <c r="A28" s="212"/>
      <c r="B28" s="208"/>
      <c r="D28" s="225"/>
      <c r="H28" s="277"/>
      <c r="J28" s="278"/>
    </row>
    <row r="29" customFormat="false" ht="15" hidden="false" customHeight="true" outlineLevel="0" collapsed="false">
      <c r="A29" s="225"/>
      <c r="B29" s="281"/>
      <c r="D29" s="225"/>
      <c r="H29" s="279"/>
      <c r="J29" s="280"/>
    </row>
    <row r="30" customFormat="false" ht="15" hidden="false" customHeight="true" outlineLevel="0" collapsed="false">
      <c r="A30" s="212"/>
      <c r="B30" s="282"/>
      <c r="D30" s="225"/>
      <c r="H30" s="279"/>
      <c r="J30" s="280"/>
    </row>
    <row r="31" customFormat="false" ht="15" hidden="false" customHeight="true" outlineLevel="0" collapsed="false">
      <c r="A31" s="225"/>
      <c r="B31" s="283"/>
    </row>
    <row r="32" customFormat="false" ht="43.5" hidden="false" customHeight="true" outlineLevel="0" collapsed="false">
      <c r="A32" s="212"/>
      <c r="B32" s="208"/>
      <c r="D32" s="284"/>
    </row>
    <row r="33" customFormat="false" ht="15" hidden="false" customHeight="true" outlineLevel="0" collapsed="false">
      <c r="A33" s="225"/>
      <c r="B33" s="281"/>
    </row>
    <row r="34" customFormat="false" ht="15" hidden="false" customHeight="true" outlineLevel="0" collapsed="false">
      <c r="A34" s="227"/>
    </row>
    <row r="35" customFormat="false" ht="15" hidden="false" customHeight="true" outlineLevel="0" collapsed="false"/>
    <row r="36" customFormat="false" ht="15" hidden="false" customHeight="true" outlineLevel="0" collapsed="false">
      <c r="A36" s="276"/>
    </row>
    <row r="37" customFormat="false" ht="21.75" hidden="false" customHeight="true" outlineLevel="0" collapsed="false">
      <c r="A37" s="285"/>
      <c r="B37" s="286"/>
      <c r="J37" s="287"/>
    </row>
    <row r="38" customFormat="false" ht="21.75" hidden="false" customHeight="true" outlineLevel="0" collapsed="false">
      <c r="A38" s="285"/>
      <c r="B38" s="286"/>
      <c r="J38" s="287"/>
    </row>
    <row r="39" customFormat="false" ht="21.75" hidden="false" customHeight="true" outlineLevel="0" collapsed="false">
      <c r="A39" s="285"/>
      <c r="B39" s="286"/>
      <c r="J39" s="287"/>
    </row>
    <row r="40" customFormat="false" ht="21.75" hidden="false" customHeight="true" outlineLevel="0" collapsed="false">
      <c r="A40" s="285"/>
      <c r="B40" s="286"/>
      <c r="J40" s="287"/>
    </row>
    <row r="41" customFormat="false" ht="21.75" hidden="false" customHeight="true" outlineLevel="0" collapsed="false">
      <c r="A41" s="285"/>
      <c r="B41" s="286"/>
      <c r="J41" s="288"/>
    </row>
    <row r="42" customFormat="false" ht="21.75" hidden="false" customHeight="true" outlineLevel="0" collapsed="false">
      <c r="A42" s="285"/>
      <c r="B42" s="286"/>
      <c r="J42" s="288"/>
    </row>
    <row r="43" customFormat="false" ht="21.75" hidden="false" customHeight="true" outlineLevel="0" collapsed="false">
      <c r="A43" s="285"/>
      <c r="B43" s="286"/>
      <c r="J43" s="289"/>
    </row>
    <row r="44" customFormat="false" ht="21.75" hidden="false" customHeight="true" outlineLevel="0" collapsed="false">
      <c r="A44" s="290"/>
      <c r="B44" s="286"/>
      <c r="J44" s="289"/>
    </row>
    <row r="46" customFormat="false" ht="15" hidden="false" customHeight="true" outlineLevel="0" collapsed="false">
      <c r="A46" s="291" t="s">
        <v>759</v>
      </c>
      <c r="B46" s="291"/>
      <c r="C46" s="291"/>
      <c r="D46" s="291"/>
      <c r="E46" s="291"/>
      <c r="F46" s="291"/>
      <c r="G46" s="291"/>
      <c r="H46" s="291"/>
      <c r="I46" s="291"/>
      <c r="J46" s="291"/>
      <c r="K46" s="291"/>
    </row>
    <row r="47" customFormat="false" ht="15" hidden="false" customHeight="true" outlineLevel="0" collapsed="false">
      <c r="A47" s="292" t="s">
        <v>760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</row>
    <row r="48" customFormat="false" ht="15" hidden="false" customHeight="true" outlineLevel="0" collapsed="false"/>
    <row r="49" customFormat="false" ht="15" hidden="false" customHeight="true" outlineLevel="0" collapsed="false">
      <c r="A49" s="201" t="s">
        <v>761</v>
      </c>
      <c r="B49" s="201"/>
      <c r="C49" s="201"/>
      <c r="D49" s="201"/>
      <c r="E49" s="201"/>
      <c r="F49" s="201"/>
      <c r="G49" s="201"/>
      <c r="H49" s="201"/>
      <c r="I49" s="201"/>
      <c r="J49" s="293" t="n">
        <v>170000</v>
      </c>
      <c r="K49" s="293"/>
    </row>
    <row r="50" customFormat="false" ht="15" hidden="false" customHeight="true" outlineLevel="0" collapsed="false">
      <c r="A50" s="294" t="s">
        <v>762</v>
      </c>
      <c r="B50" s="294"/>
      <c r="C50" s="294"/>
      <c r="D50" s="294"/>
      <c r="E50" s="294"/>
      <c r="F50" s="294"/>
      <c r="G50" s="294"/>
      <c r="H50" s="294"/>
      <c r="I50" s="294"/>
      <c r="J50" s="294"/>
      <c r="K50" s="294"/>
    </row>
    <row r="51" customFormat="false" ht="15" hidden="false" customHeight="true" outlineLevel="0" collapsed="false">
      <c r="A51" s="295" t="s">
        <v>763</v>
      </c>
      <c r="B51" s="295"/>
      <c r="C51" s="295"/>
      <c r="D51" s="295"/>
      <c r="E51" s="295"/>
      <c r="F51" s="295"/>
      <c r="G51" s="295"/>
      <c r="H51" s="295"/>
      <c r="I51" s="295"/>
      <c r="J51" s="248" t="n">
        <v>10500</v>
      </c>
      <c r="K51" s="248"/>
    </row>
    <row r="52" customFormat="false" ht="15" hidden="false" customHeight="true" outlineLevel="0" collapsed="false">
      <c r="A52" s="295" t="s">
        <v>764</v>
      </c>
      <c r="B52" s="295"/>
      <c r="C52" s="295"/>
      <c r="D52" s="295"/>
      <c r="E52" s="295"/>
      <c r="F52" s="295"/>
      <c r="G52" s="295"/>
      <c r="H52" s="295"/>
      <c r="I52" s="295"/>
      <c r="J52" s="248" t="n">
        <v>9000</v>
      </c>
      <c r="K52" s="248"/>
    </row>
    <row r="53" customFormat="false" ht="15" hidden="false" customHeight="true" outlineLevel="0" collapsed="false">
      <c r="A53" s="295" t="s">
        <v>765</v>
      </c>
      <c r="B53" s="295"/>
      <c r="C53" s="295"/>
      <c r="D53" s="295"/>
      <c r="E53" s="295"/>
      <c r="F53" s="295"/>
      <c r="G53" s="295"/>
      <c r="H53" s="295"/>
      <c r="I53" s="295"/>
      <c r="J53" s="248" t="n">
        <v>8400</v>
      </c>
      <c r="K53" s="248"/>
    </row>
    <row r="54" customFormat="false" ht="15" hidden="false" customHeight="true" outlineLevel="0" collapsed="false">
      <c r="A54" s="295" t="s">
        <v>766</v>
      </c>
      <c r="B54" s="295"/>
      <c r="C54" s="295"/>
      <c r="D54" s="295"/>
      <c r="E54" s="295"/>
      <c r="F54" s="295"/>
      <c r="G54" s="295"/>
      <c r="H54" s="295"/>
      <c r="I54" s="295"/>
      <c r="J54" s="248" t="n">
        <v>7500</v>
      </c>
      <c r="K54" s="248"/>
    </row>
    <row r="55" customFormat="false" ht="15" hidden="false" customHeight="true" outlineLevel="0" collapsed="false">
      <c r="A55" s="295" t="s">
        <v>767</v>
      </c>
      <c r="B55" s="295"/>
      <c r="C55" s="295"/>
      <c r="D55" s="295"/>
      <c r="E55" s="295"/>
      <c r="F55" s="295"/>
      <c r="G55" s="295"/>
      <c r="H55" s="295"/>
      <c r="I55" s="295"/>
      <c r="J55" s="248" t="n">
        <v>7800</v>
      </c>
      <c r="K55" s="248"/>
    </row>
    <row r="56" customFormat="false" ht="15" hidden="false" customHeight="true" outlineLevel="0" collapsed="false">
      <c r="A56" s="295" t="s">
        <v>768</v>
      </c>
      <c r="B56" s="295"/>
      <c r="C56" s="295"/>
      <c r="D56" s="295"/>
      <c r="E56" s="295"/>
      <c r="F56" s="295"/>
      <c r="G56" s="295"/>
      <c r="H56" s="295"/>
      <c r="I56" s="295"/>
      <c r="J56" s="248" t="n">
        <v>6000</v>
      </c>
      <c r="K56" s="248"/>
    </row>
    <row r="57" customFormat="false" ht="15" hidden="false" customHeight="true" outlineLevel="0" collapsed="false">
      <c r="A57" s="294" t="s">
        <v>769</v>
      </c>
      <c r="B57" s="294"/>
      <c r="C57" s="294"/>
      <c r="D57" s="294"/>
      <c r="E57" s="294"/>
      <c r="F57" s="294"/>
      <c r="G57" s="294"/>
      <c r="H57" s="294"/>
      <c r="I57" s="294"/>
      <c r="J57" s="294"/>
      <c r="K57" s="294"/>
    </row>
    <row r="58" customFormat="false" ht="15" hidden="false" customHeight="true" outlineLevel="0" collapsed="false">
      <c r="A58" s="295" t="s">
        <v>770</v>
      </c>
      <c r="B58" s="295"/>
      <c r="C58" s="295"/>
      <c r="D58" s="295"/>
      <c r="E58" s="295"/>
      <c r="F58" s="295"/>
      <c r="G58" s="295"/>
      <c r="H58" s="295"/>
      <c r="I58" s="295"/>
      <c r="J58" s="248" t="n">
        <v>6000</v>
      </c>
      <c r="K58" s="248"/>
    </row>
    <row r="59" customFormat="false" ht="15" hidden="false" customHeight="true" outlineLevel="0" collapsed="false">
      <c r="A59" s="295" t="s">
        <v>771</v>
      </c>
      <c r="B59" s="295"/>
      <c r="C59" s="295"/>
      <c r="D59" s="295"/>
      <c r="E59" s="295"/>
      <c r="F59" s="295"/>
      <c r="G59" s="295"/>
      <c r="H59" s="295"/>
      <c r="I59" s="295"/>
      <c r="J59" s="248" t="n">
        <v>9000</v>
      </c>
      <c r="K59" s="248"/>
    </row>
    <row r="60" customFormat="false" ht="15" hidden="false" customHeight="true" outlineLevel="0" collapsed="false">
      <c r="A60" s="295" t="s">
        <v>772</v>
      </c>
      <c r="B60" s="295"/>
      <c r="C60" s="295"/>
      <c r="D60" s="295"/>
      <c r="E60" s="295"/>
      <c r="F60" s="295"/>
      <c r="G60" s="295"/>
      <c r="H60" s="295"/>
      <c r="I60" s="295"/>
      <c r="J60" s="248" t="n">
        <v>12000</v>
      </c>
      <c r="K60" s="248"/>
    </row>
    <row r="61" customFormat="false" ht="15" hidden="false" customHeight="true" outlineLevel="0" collapsed="false">
      <c r="A61" s="295" t="s">
        <v>773</v>
      </c>
      <c r="B61" s="295"/>
      <c r="C61" s="295"/>
      <c r="D61" s="295"/>
      <c r="E61" s="295"/>
      <c r="F61" s="295"/>
      <c r="G61" s="295"/>
      <c r="H61" s="295"/>
      <c r="I61" s="295"/>
      <c r="J61" s="248" t="n">
        <v>2400</v>
      </c>
      <c r="K61" s="248"/>
    </row>
    <row r="62" customFormat="false" ht="15" hidden="false" customHeight="true" outlineLevel="0" collapsed="false">
      <c r="A62" s="295" t="s">
        <v>774</v>
      </c>
      <c r="B62" s="295"/>
      <c r="C62" s="295"/>
      <c r="D62" s="295"/>
      <c r="E62" s="295"/>
      <c r="F62" s="295"/>
      <c r="G62" s="295"/>
      <c r="H62" s="295"/>
      <c r="I62" s="295"/>
      <c r="J62" s="248" t="n">
        <v>4000</v>
      </c>
      <c r="K62" s="248"/>
    </row>
    <row r="63" customFormat="false" ht="15" hidden="false" customHeight="true" outlineLevel="0" collapsed="false">
      <c r="A63" s="295" t="s">
        <v>775</v>
      </c>
      <c r="B63" s="295"/>
      <c r="C63" s="295"/>
      <c r="D63" s="295"/>
      <c r="E63" s="295"/>
      <c r="F63" s="295"/>
      <c r="G63" s="295"/>
      <c r="H63" s="295"/>
      <c r="I63" s="295"/>
      <c r="J63" s="248" t="n">
        <v>5000</v>
      </c>
      <c r="K63" s="248"/>
    </row>
    <row r="64" customFormat="false" ht="15" hidden="false" customHeight="true" outlineLevel="0" collapsed="false">
      <c r="A64" s="294" t="s">
        <v>776</v>
      </c>
      <c r="B64" s="294"/>
      <c r="C64" s="294"/>
      <c r="D64" s="294"/>
      <c r="E64" s="294"/>
      <c r="F64" s="294"/>
      <c r="G64" s="294"/>
      <c r="H64" s="294"/>
      <c r="I64" s="294"/>
      <c r="J64" s="294"/>
      <c r="K64" s="294"/>
    </row>
    <row r="65" customFormat="false" ht="15" hidden="false" customHeight="true" outlineLevel="0" collapsed="false">
      <c r="A65" s="295" t="s">
        <v>777</v>
      </c>
      <c r="B65" s="295"/>
      <c r="C65" s="295"/>
      <c r="D65" s="295"/>
      <c r="E65" s="295"/>
      <c r="F65" s="295"/>
      <c r="G65" s="295"/>
      <c r="H65" s="295"/>
      <c r="I65" s="295"/>
      <c r="J65" s="248" t="n">
        <v>3250</v>
      </c>
      <c r="K65" s="248"/>
    </row>
    <row r="66" customFormat="false" ht="15" hidden="false" customHeight="true" outlineLevel="0" collapsed="false">
      <c r="A66" s="295" t="s">
        <v>778</v>
      </c>
      <c r="B66" s="295"/>
      <c r="C66" s="295"/>
      <c r="D66" s="295"/>
      <c r="E66" s="295"/>
      <c r="F66" s="295"/>
      <c r="G66" s="295"/>
      <c r="H66" s="295"/>
      <c r="I66" s="295"/>
      <c r="J66" s="248" t="n">
        <v>2000</v>
      </c>
      <c r="K66" s="248"/>
    </row>
    <row r="67" customFormat="false" ht="15" hidden="false" customHeight="true" outlineLevel="0" collapsed="false">
      <c r="A67" s="295" t="s">
        <v>779</v>
      </c>
      <c r="B67" s="295"/>
      <c r="C67" s="295"/>
      <c r="D67" s="295"/>
      <c r="E67" s="295"/>
      <c r="F67" s="295"/>
      <c r="G67" s="295"/>
      <c r="H67" s="295"/>
      <c r="I67" s="295"/>
      <c r="J67" s="248" t="n">
        <v>2500</v>
      </c>
      <c r="K67" s="248"/>
    </row>
    <row r="68" customFormat="false" ht="15" hidden="false" customHeight="true" outlineLevel="0" collapsed="false">
      <c r="A68" s="295" t="s">
        <v>780</v>
      </c>
      <c r="B68" s="295"/>
      <c r="C68" s="295"/>
      <c r="D68" s="295"/>
      <c r="E68" s="295"/>
      <c r="F68" s="295"/>
      <c r="G68" s="295"/>
      <c r="H68" s="295"/>
      <c r="I68" s="295"/>
      <c r="J68" s="248" t="n">
        <v>40000</v>
      </c>
      <c r="K68" s="248"/>
    </row>
    <row r="69" customFormat="false" ht="15" hidden="false" customHeight="true" outlineLevel="0" collapsed="false">
      <c r="A69" s="295" t="s">
        <v>781</v>
      </c>
      <c r="B69" s="295"/>
      <c r="C69" s="295"/>
      <c r="D69" s="295"/>
      <c r="E69" s="295"/>
      <c r="F69" s="295"/>
      <c r="G69" s="295"/>
      <c r="H69" s="295"/>
      <c r="I69" s="295"/>
      <c r="J69" s="248" t="n">
        <v>16000</v>
      </c>
      <c r="K69" s="248"/>
    </row>
    <row r="70" customFormat="false" ht="15" hidden="false" customHeight="true" outlineLevel="0" collapsed="false">
      <c r="A70" s="295" t="s">
        <v>782</v>
      </c>
      <c r="B70" s="295"/>
      <c r="C70" s="295"/>
      <c r="D70" s="295"/>
      <c r="E70" s="295"/>
      <c r="F70" s="295"/>
      <c r="G70" s="295"/>
      <c r="H70" s="295"/>
      <c r="I70" s="295"/>
      <c r="J70" s="248" t="n">
        <v>18650</v>
      </c>
      <c r="K70" s="248"/>
    </row>
    <row r="71" customFormat="false" ht="15" hidden="false" customHeight="true" outlineLevel="0" collapsed="false">
      <c r="A71" s="296" t="s">
        <v>783</v>
      </c>
      <c r="B71" s="296"/>
      <c r="C71" s="296"/>
      <c r="D71" s="296"/>
      <c r="E71" s="296"/>
      <c r="F71" s="296"/>
      <c r="G71" s="296"/>
      <c r="H71" s="296"/>
      <c r="I71" s="296"/>
      <c r="J71" s="297" t="n">
        <f aca="false">SUM(J50:J70)</f>
        <v>170000</v>
      </c>
      <c r="K71" s="297"/>
    </row>
    <row r="72" customFormat="false" ht="15" hidden="false" customHeight="true" outlineLevel="0" collapsed="false"/>
    <row r="73" customFormat="false" ht="15" hidden="false" customHeight="true" outlineLevel="0" collapsed="false">
      <c r="A73" s="201" t="s">
        <v>784</v>
      </c>
      <c r="B73" s="201"/>
      <c r="C73" s="201"/>
      <c r="D73" s="201"/>
      <c r="E73" s="201"/>
      <c r="F73" s="201"/>
      <c r="G73" s="201"/>
      <c r="H73" s="201"/>
      <c r="I73" s="201"/>
      <c r="J73" s="293" t="n">
        <v>90000</v>
      </c>
      <c r="K73" s="293"/>
    </row>
    <row r="74" customFormat="false" ht="15" hidden="false" customHeight="true" outlineLevel="0" collapsed="false">
      <c r="A74" s="295" t="s">
        <v>785</v>
      </c>
      <c r="B74" s="295"/>
      <c r="C74" s="295"/>
      <c r="D74" s="295"/>
      <c r="E74" s="295"/>
      <c r="F74" s="295"/>
      <c r="G74" s="295"/>
      <c r="H74" s="295"/>
      <c r="I74" s="295"/>
      <c r="J74" s="248" t="n">
        <v>5300</v>
      </c>
      <c r="K74" s="248"/>
    </row>
    <row r="75" customFormat="false" ht="15" hidden="false" customHeight="true" outlineLevel="0" collapsed="false">
      <c r="A75" s="295" t="s">
        <v>786</v>
      </c>
      <c r="B75" s="295"/>
      <c r="C75" s="295"/>
      <c r="D75" s="295"/>
      <c r="E75" s="295"/>
      <c r="F75" s="295"/>
      <c r="G75" s="295"/>
      <c r="H75" s="295"/>
      <c r="I75" s="295"/>
      <c r="J75" s="248" t="n">
        <v>16700</v>
      </c>
      <c r="K75" s="248"/>
    </row>
    <row r="76" customFormat="false" ht="15" hidden="false" customHeight="true" outlineLevel="0" collapsed="false">
      <c r="A76" s="295" t="s">
        <v>787</v>
      </c>
      <c r="B76" s="295"/>
      <c r="C76" s="295"/>
      <c r="D76" s="295"/>
      <c r="E76" s="295"/>
      <c r="F76" s="295"/>
      <c r="G76" s="295"/>
      <c r="H76" s="295"/>
      <c r="I76" s="295"/>
      <c r="J76" s="248" t="n">
        <v>24000</v>
      </c>
      <c r="K76" s="248"/>
    </row>
    <row r="77" customFormat="false" ht="15" hidden="false" customHeight="true" outlineLevel="0" collapsed="false">
      <c r="A77" s="295" t="s">
        <v>788</v>
      </c>
      <c r="B77" s="295"/>
      <c r="C77" s="295"/>
      <c r="D77" s="295"/>
      <c r="E77" s="295"/>
      <c r="F77" s="295"/>
      <c r="G77" s="295"/>
      <c r="H77" s="295"/>
      <c r="I77" s="295"/>
      <c r="J77" s="248" t="n">
        <v>20000</v>
      </c>
      <c r="K77" s="248"/>
    </row>
    <row r="78" customFormat="false" ht="15" hidden="false" customHeight="true" outlineLevel="0" collapsed="false">
      <c r="A78" s="295" t="s">
        <v>789</v>
      </c>
      <c r="B78" s="295"/>
      <c r="C78" s="295"/>
      <c r="D78" s="295"/>
      <c r="E78" s="295"/>
      <c r="F78" s="295"/>
      <c r="G78" s="295"/>
      <c r="H78" s="295"/>
      <c r="I78" s="295"/>
      <c r="J78" s="248" t="n">
        <v>14000</v>
      </c>
      <c r="K78" s="248"/>
    </row>
    <row r="79" customFormat="false" ht="15" hidden="false" customHeight="true" outlineLevel="0" collapsed="false">
      <c r="A79" s="295" t="s">
        <v>790</v>
      </c>
      <c r="B79" s="295"/>
      <c r="C79" s="295"/>
      <c r="D79" s="295"/>
      <c r="E79" s="295"/>
      <c r="F79" s="295"/>
      <c r="G79" s="295"/>
      <c r="H79" s="295"/>
      <c r="I79" s="295"/>
      <c r="J79" s="248" t="n">
        <v>10000</v>
      </c>
      <c r="K79" s="248"/>
    </row>
    <row r="80" customFormat="false" ht="15" hidden="false" customHeight="true" outlineLevel="0" collapsed="false">
      <c r="A80" s="296" t="s">
        <v>791</v>
      </c>
      <c r="B80" s="296"/>
      <c r="C80" s="296"/>
      <c r="D80" s="296"/>
      <c r="E80" s="296"/>
      <c r="F80" s="296"/>
      <c r="G80" s="296"/>
      <c r="H80" s="296"/>
      <c r="I80" s="296"/>
      <c r="J80" s="297" t="n">
        <f aca="false">SUM(J74:J79)</f>
        <v>90000</v>
      </c>
      <c r="K80" s="297"/>
    </row>
    <row r="81" customFormat="false" ht="15" hidden="false" customHeight="true" outlineLevel="0" collapsed="false"/>
    <row r="82" customFormat="false" ht="15" hidden="false" customHeight="true" outlineLevel="0" collapsed="false">
      <c r="A82" s="201" t="s">
        <v>792</v>
      </c>
      <c r="B82" s="201"/>
      <c r="C82" s="201"/>
      <c r="D82" s="201"/>
      <c r="E82" s="201"/>
      <c r="F82" s="201"/>
      <c r="G82" s="201"/>
      <c r="H82" s="201"/>
      <c r="I82" s="201"/>
      <c r="J82" s="293" t="n">
        <v>70000</v>
      </c>
      <c r="K82" s="293"/>
    </row>
    <row r="83" customFormat="false" ht="15" hidden="false" customHeight="true" outlineLevel="0" collapsed="false">
      <c r="A83" s="295" t="s">
        <v>793</v>
      </c>
      <c r="B83" s="295"/>
      <c r="C83" s="295"/>
      <c r="D83" s="295"/>
      <c r="E83" s="295"/>
      <c r="F83" s="295"/>
      <c r="G83" s="295"/>
      <c r="H83" s="295"/>
      <c r="I83" s="295"/>
      <c r="J83" s="248" t="n">
        <v>32000</v>
      </c>
      <c r="K83" s="248"/>
    </row>
    <row r="84" customFormat="false" ht="15" hidden="false" customHeight="true" outlineLevel="0" collapsed="false">
      <c r="A84" s="295" t="s">
        <v>794</v>
      </c>
      <c r="B84" s="295"/>
      <c r="C84" s="295"/>
      <c r="D84" s="295"/>
      <c r="E84" s="295"/>
      <c r="F84" s="295"/>
      <c r="G84" s="295"/>
      <c r="H84" s="295"/>
      <c r="I84" s="295"/>
      <c r="J84" s="248" t="n">
        <v>12000</v>
      </c>
      <c r="K84" s="248"/>
    </row>
    <row r="85" customFormat="false" ht="15" hidden="false" customHeight="true" outlineLevel="0" collapsed="false">
      <c r="A85" s="295" t="s">
        <v>795</v>
      </c>
      <c r="B85" s="295"/>
      <c r="C85" s="295"/>
      <c r="D85" s="295"/>
      <c r="E85" s="295"/>
      <c r="F85" s="295"/>
      <c r="G85" s="295"/>
      <c r="H85" s="295"/>
      <c r="I85" s="295"/>
      <c r="J85" s="248" t="n">
        <v>16000</v>
      </c>
      <c r="K85" s="248"/>
    </row>
    <row r="86" customFormat="false" ht="15" hidden="false" customHeight="true" outlineLevel="0" collapsed="false">
      <c r="A86" s="295" t="s">
        <v>796</v>
      </c>
      <c r="B86" s="295"/>
      <c r="C86" s="295"/>
      <c r="D86" s="295"/>
      <c r="E86" s="295"/>
      <c r="F86" s="295"/>
      <c r="G86" s="295"/>
      <c r="H86" s="295"/>
      <c r="I86" s="295"/>
      <c r="J86" s="248" t="n">
        <v>4000</v>
      </c>
      <c r="K86" s="248"/>
    </row>
    <row r="87" customFormat="false" ht="15" hidden="false" customHeight="true" outlineLevel="0" collapsed="false">
      <c r="A87" s="295" t="s">
        <v>790</v>
      </c>
      <c r="B87" s="295"/>
      <c r="C87" s="295"/>
      <c r="D87" s="295"/>
      <c r="E87" s="295"/>
      <c r="F87" s="295"/>
      <c r="G87" s="295"/>
      <c r="H87" s="295"/>
      <c r="I87" s="295"/>
      <c r="J87" s="248" t="n">
        <v>6000</v>
      </c>
      <c r="K87" s="248"/>
    </row>
    <row r="88" customFormat="false" ht="15" hidden="false" customHeight="true" outlineLevel="0" collapsed="false">
      <c r="A88" s="296" t="s">
        <v>797</v>
      </c>
      <c r="B88" s="296"/>
      <c r="C88" s="296"/>
      <c r="D88" s="296"/>
      <c r="E88" s="296"/>
      <c r="F88" s="296"/>
      <c r="G88" s="296"/>
      <c r="H88" s="296"/>
      <c r="I88" s="296"/>
      <c r="J88" s="297" t="n">
        <f aca="false">SUM(J83:J87)</f>
        <v>70000</v>
      </c>
      <c r="K88" s="297"/>
    </row>
    <row r="89" customFormat="false" ht="15" hidden="false" customHeight="true" outlineLevel="0" collapsed="false"/>
    <row r="90" customFormat="false" ht="15" hidden="false" customHeight="true" outlineLevel="0" collapsed="false">
      <c r="A90" s="201" t="s">
        <v>798</v>
      </c>
      <c r="B90" s="201"/>
      <c r="C90" s="201"/>
      <c r="D90" s="201"/>
      <c r="E90" s="201"/>
      <c r="F90" s="201"/>
      <c r="G90" s="201"/>
      <c r="H90" s="201"/>
      <c r="I90" s="201"/>
      <c r="J90" s="293" t="n">
        <v>54000</v>
      </c>
      <c r="K90" s="293"/>
    </row>
    <row r="91" customFormat="false" ht="15" hidden="false" customHeight="true" outlineLevel="0" collapsed="false">
      <c r="A91" s="295" t="s">
        <v>799</v>
      </c>
      <c r="B91" s="295"/>
      <c r="C91" s="295"/>
      <c r="D91" s="295"/>
      <c r="E91" s="295"/>
      <c r="F91" s="295"/>
      <c r="G91" s="295"/>
      <c r="H91" s="295"/>
      <c r="I91" s="295"/>
      <c r="J91" s="248" t="n">
        <v>16000</v>
      </c>
      <c r="K91" s="248"/>
    </row>
    <row r="92" customFormat="false" ht="15" hidden="false" customHeight="true" outlineLevel="0" collapsed="false">
      <c r="A92" s="295" t="s">
        <v>800</v>
      </c>
      <c r="B92" s="295"/>
      <c r="C92" s="295"/>
      <c r="D92" s="295"/>
      <c r="E92" s="295"/>
      <c r="F92" s="295"/>
      <c r="G92" s="295"/>
      <c r="H92" s="295"/>
      <c r="I92" s="295"/>
      <c r="J92" s="248" t="n">
        <v>10000</v>
      </c>
      <c r="K92" s="248"/>
    </row>
    <row r="93" customFormat="false" ht="15" hidden="false" customHeight="true" outlineLevel="0" collapsed="false">
      <c r="A93" s="295" t="s">
        <v>801</v>
      </c>
      <c r="B93" s="295"/>
      <c r="C93" s="295"/>
      <c r="D93" s="295"/>
      <c r="E93" s="295"/>
      <c r="F93" s="295"/>
      <c r="G93" s="295"/>
      <c r="H93" s="295"/>
      <c r="I93" s="295"/>
      <c r="J93" s="248" t="n">
        <v>4000</v>
      </c>
      <c r="K93" s="248"/>
    </row>
    <row r="94" customFormat="false" ht="15" hidden="false" customHeight="true" outlineLevel="0" collapsed="false">
      <c r="A94" s="295" t="s">
        <v>802</v>
      </c>
      <c r="B94" s="295"/>
      <c r="C94" s="295"/>
      <c r="D94" s="295"/>
      <c r="E94" s="295"/>
      <c r="F94" s="295"/>
      <c r="G94" s="295"/>
      <c r="H94" s="295"/>
      <c r="I94" s="295"/>
      <c r="J94" s="248" t="n">
        <v>12000</v>
      </c>
      <c r="K94" s="248"/>
    </row>
    <row r="95" customFormat="false" ht="15" hidden="false" customHeight="true" outlineLevel="0" collapsed="false">
      <c r="A95" s="295" t="s">
        <v>803</v>
      </c>
      <c r="B95" s="295"/>
      <c r="C95" s="295"/>
      <c r="D95" s="295"/>
      <c r="E95" s="295"/>
      <c r="F95" s="295"/>
      <c r="G95" s="295"/>
      <c r="H95" s="295"/>
      <c r="I95" s="295"/>
      <c r="J95" s="248" t="n">
        <v>10000</v>
      </c>
      <c r="K95" s="248"/>
    </row>
    <row r="96" customFormat="false" ht="15" hidden="false" customHeight="true" outlineLevel="0" collapsed="false">
      <c r="A96" s="295" t="s">
        <v>804</v>
      </c>
      <c r="B96" s="295"/>
      <c r="C96" s="295"/>
      <c r="D96" s="295"/>
      <c r="E96" s="295"/>
      <c r="F96" s="295"/>
      <c r="G96" s="295"/>
      <c r="H96" s="295"/>
      <c r="I96" s="295"/>
      <c r="J96" s="248" t="n">
        <v>2000</v>
      </c>
      <c r="K96" s="248"/>
    </row>
    <row r="97" customFormat="false" ht="15" hidden="false" customHeight="true" outlineLevel="0" collapsed="false">
      <c r="A97" s="296" t="s">
        <v>805</v>
      </c>
      <c r="B97" s="296"/>
      <c r="C97" s="296"/>
      <c r="D97" s="296"/>
      <c r="E97" s="296"/>
      <c r="F97" s="296"/>
      <c r="G97" s="296"/>
      <c r="H97" s="296"/>
      <c r="I97" s="296"/>
      <c r="J97" s="297" t="n">
        <f aca="false">SUM(J91:J96)</f>
        <v>54000</v>
      </c>
      <c r="K97" s="297"/>
    </row>
    <row r="98" customFormat="false" ht="15" hidden="false" customHeight="true" outlineLevel="0" collapsed="false"/>
    <row r="99" customFormat="false" ht="15" hidden="false" customHeight="true" outlineLevel="0" collapsed="false">
      <c r="A99" s="201" t="s">
        <v>806</v>
      </c>
      <c r="B99" s="201"/>
      <c r="C99" s="201"/>
      <c r="D99" s="201"/>
      <c r="E99" s="201"/>
      <c r="F99" s="201"/>
      <c r="G99" s="201"/>
      <c r="H99" s="201"/>
      <c r="I99" s="201"/>
      <c r="J99" s="293" t="n">
        <v>34000</v>
      </c>
      <c r="K99" s="293"/>
    </row>
    <row r="100" customFormat="false" ht="15" hidden="false" customHeight="true" outlineLevel="0" collapsed="false">
      <c r="A100" s="295" t="s">
        <v>807</v>
      </c>
      <c r="B100" s="295"/>
      <c r="C100" s="295"/>
      <c r="D100" s="295"/>
      <c r="E100" s="295"/>
      <c r="F100" s="295"/>
      <c r="G100" s="295"/>
      <c r="H100" s="295"/>
      <c r="I100" s="295"/>
      <c r="J100" s="248" t="n">
        <v>18000</v>
      </c>
      <c r="K100" s="248"/>
    </row>
    <row r="101" customFormat="false" ht="15" hidden="false" customHeight="true" outlineLevel="0" collapsed="false">
      <c r="A101" s="295" t="s">
        <v>808</v>
      </c>
      <c r="B101" s="295"/>
      <c r="C101" s="295"/>
      <c r="D101" s="295"/>
      <c r="E101" s="295"/>
      <c r="F101" s="295"/>
      <c r="G101" s="295"/>
      <c r="H101" s="295"/>
      <c r="I101" s="295"/>
      <c r="J101" s="248" t="n">
        <v>8000</v>
      </c>
      <c r="K101" s="248"/>
    </row>
    <row r="102" customFormat="false" ht="15" hidden="false" customHeight="true" outlineLevel="0" collapsed="false">
      <c r="A102" s="295" t="s">
        <v>809</v>
      </c>
      <c r="B102" s="295"/>
      <c r="C102" s="295"/>
      <c r="D102" s="295"/>
      <c r="E102" s="295"/>
      <c r="F102" s="295"/>
      <c r="G102" s="295"/>
      <c r="H102" s="295"/>
      <c r="I102" s="295"/>
      <c r="J102" s="248" t="n">
        <v>4000</v>
      </c>
      <c r="K102" s="248"/>
    </row>
    <row r="103" customFormat="false" ht="15" hidden="false" customHeight="true" outlineLevel="0" collapsed="false">
      <c r="A103" s="295" t="s">
        <v>810</v>
      </c>
      <c r="B103" s="295"/>
      <c r="C103" s="295"/>
      <c r="D103" s="295"/>
      <c r="E103" s="295"/>
      <c r="F103" s="295"/>
      <c r="G103" s="295"/>
      <c r="H103" s="295"/>
      <c r="I103" s="295"/>
      <c r="J103" s="248" t="n">
        <v>4000</v>
      </c>
      <c r="K103" s="248"/>
    </row>
    <row r="104" customFormat="false" ht="15" hidden="false" customHeight="true" outlineLevel="0" collapsed="false">
      <c r="A104" s="296" t="s">
        <v>811</v>
      </c>
      <c r="B104" s="296"/>
      <c r="C104" s="296"/>
      <c r="D104" s="296"/>
      <c r="E104" s="296"/>
      <c r="F104" s="296"/>
      <c r="G104" s="296"/>
      <c r="H104" s="296"/>
      <c r="I104" s="296"/>
      <c r="J104" s="297" t="n">
        <f aca="false">SUM(J100:J103)</f>
        <v>34000</v>
      </c>
      <c r="K104" s="297"/>
    </row>
    <row r="105" customFormat="false" ht="15" hidden="false" customHeight="true" outlineLevel="0" collapsed="false"/>
    <row r="106" customFormat="false" ht="15" hidden="false" customHeight="true" outlineLevel="0" collapsed="false">
      <c r="A106" s="201" t="s">
        <v>812</v>
      </c>
      <c r="B106" s="201"/>
      <c r="C106" s="201"/>
      <c r="D106" s="201"/>
      <c r="E106" s="201"/>
      <c r="F106" s="201"/>
      <c r="G106" s="201"/>
      <c r="H106" s="201"/>
      <c r="I106" s="201"/>
      <c r="J106" s="293" t="n">
        <v>182000</v>
      </c>
      <c r="K106" s="293"/>
    </row>
    <row r="107" customFormat="false" ht="15" hidden="false" customHeight="true" outlineLevel="0" collapsed="false">
      <c r="A107" s="295" t="s">
        <v>813</v>
      </c>
      <c r="B107" s="295"/>
      <c r="C107" s="295"/>
      <c r="D107" s="295"/>
      <c r="E107" s="295"/>
      <c r="F107" s="295"/>
      <c r="G107" s="295"/>
      <c r="H107" s="295"/>
      <c r="I107" s="295"/>
      <c r="J107" s="248" t="n">
        <v>56000</v>
      </c>
      <c r="K107" s="248"/>
    </row>
    <row r="108" customFormat="false" ht="15" hidden="false" customHeight="true" outlineLevel="0" collapsed="false">
      <c r="A108" s="295" t="s">
        <v>814</v>
      </c>
      <c r="B108" s="295"/>
      <c r="C108" s="295"/>
      <c r="D108" s="295"/>
      <c r="E108" s="295"/>
      <c r="F108" s="295"/>
      <c r="G108" s="295"/>
      <c r="H108" s="295"/>
      <c r="I108" s="295"/>
      <c r="J108" s="248" t="n">
        <v>40000</v>
      </c>
      <c r="K108" s="248"/>
    </row>
    <row r="109" customFormat="false" ht="15" hidden="false" customHeight="true" outlineLevel="0" collapsed="false">
      <c r="A109" s="295" t="s">
        <v>815</v>
      </c>
      <c r="B109" s="295"/>
      <c r="C109" s="295"/>
      <c r="D109" s="295"/>
      <c r="E109" s="295"/>
      <c r="F109" s="295"/>
      <c r="G109" s="295"/>
      <c r="H109" s="295"/>
      <c r="I109" s="295"/>
      <c r="J109" s="248" t="n">
        <v>24000</v>
      </c>
      <c r="K109" s="248"/>
    </row>
    <row r="110" customFormat="false" ht="15" hidden="false" customHeight="true" outlineLevel="0" collapsed="false">
      <c r="A110" s="295" t="s">
        <v>816</v>
      </c>
      <c r="B110" s="295"/>
      <c r="C110" s="295"/>
      <c r="D110" s="295"/>
      <c r="E110" s="295"/>
      <c r="F110" s="295"/>
      <c r="G110" s="295"/>
      <c r="H110" s="295"/>
      <c r="I110" s="295"/>
      <c r="J110" s="248" t="n">
        <v>12000</v>
      </c>
      <c r="K110" s="248"/>
    </row>
    <row r="111" customFormat="false" ht="15" hidden="false" customHeight="true" outlineLevel="0" collapsed="false">
      <c r="A111" s="295" t="s">
        <v>817</v>
      </c>
      <c r="B111" s="295"/>
      <c r="C111" s="295"/>
      <c r="D111" s="295"/>
      <c r="E111" s="295"/>
      <c r="F111" s="295"/>
      <c r="G111" s="295"/>
      <c r="H111" s="295"/>
      <c r="I111" s="295"/>
      <c r="J111" s="248" t="n">
        <v>8000</v>
      </c>
      <c r="K111" s="248"/>
    </row>
    <row r="112" customFormat="false" ht="15" hidden="false" customHeight="true" outlineLevel="0" collapsed="false">
      <c r="A112" s="295" t="s">
        <v>818</v>
      </c>
      <c r="B112" s="295"/>
      <c r="C112" s="295"/>
      <c r="D112" s="295"/>
      <c r="E112" s="295"/>
      <c r="F112" s="295"/>
      <c r="G112" s="295"/>
      <c r="H112" s="295"/>
      <c r="I112" s="295"/>
      <c r="J112" s="248" t="n">
        <v>12000</v>
      </c>
      <c r="K112" s="248"/>
    </row>
    <row r="113" customFormat="false" ht="15" hidden="false" customHeight="true" outlineLevel="0" collapsed="false">
      <c r="A113" s="295" t="s">
        <v>819</v>
      </c>
      <c r="B113" s="295"/>
      <c r="C113" s="295"/>
      <c r="D113" s="295"/>
      <c r="E113" s="295"/>
      <c r="F113" s="295"/>
      <c r="G113" s="295"/>
      <c r="H113" s="295"/>
      <c r="I113" s="295"/>
      <c r="J113" s="248" t="n">
        <v>12000</v>
      </c>
      <c r="K113" s="248"/>
    </row>
    <row r="114" customFormat="false" ht="15" hidden="false" customHeight="true" outlineLevel="0" collapsed="false">
      <c r="A114" s="295" t="s">
        <v>820</v>
      </c>
      <c r="B114" s="295"/>
      <c r="C114" s="295"/>
      <c r="D114" s="295"/>
      <c r="E114" s="295"/>
      <c r="F114" s="295"/>
      <c r="G114" s="295"/>
      <c r="H114" s="295"/>
      <c r="I114" s="295"/>
      <c r="J114" s="248" t="n">
        <v>6000</v>
      </c>
      <c r="K114" s="248"/>
    </row>
    <row r="115" customFormat="false" ht="15" hidden="false" customHeight="true" outlineLevel="0" collapsed="false">
      <c r="A115" s="295" t="s">
        <v>821</v>
      </c>
      <c r="B115" s="295"/>
      <c r="C115" s="295"/>
      <c r="D115" s="295"/>
      <c r="E115" s="295"/>
      <c r="F115" s="295"/>
      <c r="G115" s="295"/>
      <c r="H115" s="295"/>
      <c r="I115" s="295"/>
      <c r="J115" s="248" t="n">
        <v>4000</v>
      </c>
      <c r="K115" s="248"/>
    </row>
    <row r="116" customFormat="false" ht="45.75" hidden="false" customHeight="true" outlineLevel="0" collapsed="false">
      <c r="A116" s="295" t="s">
        <v>822</v>
      </c>
      <c r="B116" s="295"/>
      <c r="C116" s="295"/>
      <c r="D116" s="295"/>
      <c r="E116" s="295"/>
      <c r="F116" s="295"/>
      <c r="G116" s="295"/>
      <c r="H116" s="295"/>
      <c r="I116" s="295"/>
      <c r="J116" s="248" t="n">
        <v>8000</v>
      </c>
      <c r="K116" s="248"/>
    </row>
    <row r="117" customFormat="false" ht="15" hidden="false" customHeight="true" outlineLevel="0" collapsed="false">
      <c r="A117" s="296" t="s">
        <v>823</v>
      </c>
      <c r="B117" s="296"/>
      <c r="C117" s="296"/>
      <c r="D117" s="296"/>
      <c r="E117" s="296"/>
      <c r="F117" s="296"/>
      <c r="G117" s="296"/>
      <c r="H117" s="296"/>
      <c r="I117" s="296"/>
      <c r="J117" s="297" t="n">
        <f aca="false">SUM(J107:J116)</f>
        <v>182000</v>
      </c>
      <c r="K117" s="297"/>
    </row>
    <row r="118" customFormat="false" ht="15" hidden="false" customHeight="true" outlineLevel="0" collapsed="false"/>
    <row r="119" customFormat="false" ht="43.5" hidden="false" customHeight="true" outlineLevel="0" collapsed="false">
      <c r="A119" s="298" t="s">
        <v>824</v>
      </c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</row>
  </sheetData>
  <mergeCells count="136">
    <mergeCell ref="A1:K1"/>
    <mergeCell ref="A2:K2"/>
    <mergeCell ref="D4:K4"/>
    <mergeCell ref="D5:K5"/>
    <mergeCell ref="D6:K6"/>
    <mergeCell ref="A8:K8"/>
    <mergeCell ref="A22:K22"/>
    <mergeCell ref="A24:K24"/>
    <mergeCell ref="A46:K46"/>
    <mergeCell ref="A47:K47"/>
    <mergeCell ref="A49:I49"/>
    <mergeCell ref="J49:K49"/>
    <mergeCell ref="A50:K50"/>
    <mergeCell ref="A51:I51"/>
    <mergeCell ref="J51:K51"/>
    <mergeCell ref="A52:I52"/>
    <mergeCell ref="J52:K52"/>
    <mergeCell ref="A53:I53"/>
    <mergeCell ref="J53:K53"/>
    <mergeCell ref="A54:I54"/>
    <mergeCell ref="J54:K54"/>
    <mergeCell ref="A55:I55"/>
    <mergeCell ref="J55:K55"/>
    <mergeCell ref="A56:I56"/>
    <mergeCell ref="J56:K56"/>
    <mergeCell ref="A57:K57"/>
    <mergeCell ref="A58:I58"/>
    <mergeCell ref="J58:K58"/>
    <mergeCell ref="A59:I59"/>
    <mergeCell ref="J59:K59"/>
    <mergeCell ref="A60:I60"/>
    <mergeCell ref="J60:K60"/>
    <mergeCell ref="A61:I61"/>
    <mergeCell ref="J61:K61"/>
    <mergeCell ref="A62:I62"/>
    <mergeCell ref="J62:K62"/>
    <mergeCell ref="A63:I63"/>
    <mergeCell ref="J63:K63"/>
    <mergeCell ref="A64:K64"/>
    <mergeCell ref="A65:I65"/>
    <mergeCell ref="J65:K65"/>
    <mergeCell ref="A66:I66"/>
    <mergeCell ref="J66:K66"/>
    <mergeCell ref="A67:I67"/>
    <mergeCell ref="J67:K67"/>
    <mergeCell ref="A68:I68"/>
    <mergeCell ref="J68:K68"/>
    <mergeCell ref="A69:I69"/>
    <mergeCell ref="J69:K69"/>
    <mergeCell ref="A70:I70"/>
    <mergeCell ref="J70:K70"/>
    <mergeCell ref="A71:I71"/>
    <mergeCell ref="J71:K71"/>
    <mergeCell ref="A73:I73"/>
    <mergeCell ref="J73:K73"/>
    <mergeCell ref="A74:I74"/>
    <mergeCell ref="J74:K74"/>
    <mergeCell ref="A75:I75"/>
    <mergeCell ref="J75:K75"/>
    <mergeCell ref="A76:I76"/>
    <mergeCell ref="J76:K76"/>
    <mergeCell ref="A77:I77"/>
    <mergeCell ref="J77:K77"/>
    <mergeCell ref="A78:I78"/>
    <mergeCell ref="J78:K78"/>
    <mergeCell ref="A79:I79"/>
    <mergeCell ref="J79:K79"/>
    <mergeCell ref="A80:I80"/>
    <mergeCell ref="J80:K80"/>
    <mergeCell ref="A82:I82"/>
    <mergeCell ref="J82:K82"/>
    <mergeCell ref="A83:I83"/>
    <mergeCell ref="J83:K83"/>
    <mergeCell ref="A84:I84"/>
    <mergeCell ref="J84:K84"/>
    <mergeCell ref="A85:I85"/>
    <mergeCell ref="J85:K85"/>
    <mergeCell ref="A86:I86"/>
    <mergeCell ref="J86:K86"/>
    <mergeCell ref="A87:I87"/>
    <mergeCell ref="J87:K87"/>
    <mergeCell ref="A88:I88"/>
    <mergeCell ref="J88:K88"/>
    <mergeCell ref="A90:I90"/>
    <mergeCell ref="J90:K90"/>
    <mergeCell ref="A91:I91"/>
    <mergeCell ref="J91:K91"/>
    <mergeCell ref="A92:I92"/>
    <mergeCell ref="J92:K92"/>
    <mergeCell ref="A93:I93"/>
    <mergeCell ref="J93:K93"/>
    <mergeCell ref="A94:I94"/>
    <mergeCell ref="J94:K94"/>
    <mergeCell ref="A95:I95"/>
    <mergeCell ref="J95:K95"/>
    <mergeCell ref="A96:I96"/>
    <mergeCell ref="J96:K96"/>
    <mergeCell ref="A97:I97"/>
    <mergeCell ref="J97:K97"/>
    <mergeCell ref="A99:I99"/>
    <mergeCell ref="J99:K99"/>
    <mergeCell ref="A100:I100"/>
    <mergeCell ref="J100:K100"/>
    <mergeCell ref="A101:I101"/>
    <mergeCell ref="J101:K101"/>
    <mergeCell ref="A102:I102"/>
    <mergeCell ref="J102:K102"/>
    <mergeCell ref="A103:I103"/>
    <mergeCell ref="J103:K103"/>
    <mergeCell ref="A104:I104"/>
    <mergeCell ref="J104:K104"/>
    <mergeCell ref="A106:I106"/>
    <mergeCell ref="J106:K106"/>
    <mergeCell ref="A107:I107"/>
    <mergeCell ref="J107:K107"/>
    <mergeCell ref="A108:I108"/>
    <mergeCell ref="J108:K108"/>
    <mergeCell ref="A109:I109"/>
    <mergeCell ref="J109:K109"/>
    <mergeCell ref="A110:I110"/>
    <mergeCell ref="J110:K110"/>
    <mergeCell ref="A111:I111"/>
    <mergeCell ref="J111:K111"/>
    <mergeCell ref="A112:I112"/>
    <mergeCell ref="J112:K112"/>
    <mergeCell ref="A113:I113"/>
    <mergeCell ref="J113:K113"/>
    <mergeCell ref="A114:I114"/>
    <mergeCell ref="J114:K114"/>
    <mergeCell ref="A115:I115"/>
    <mergeCell ref="J115:K115"/>
    <mergeCell ref="A116:I116"/>
    <mergeCell ref="J116:K116"/>
    <mergeCell ref="A117:I117"/>
    <mergeCell ref="J117:K117"/>
    <mergeCell ref="A119:K119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24"/>
    <col collapsed="false" customWidth="true" hidden="false" outlineLevel="0" max="3" min="3" style="1" width="34"/>
    <col collapsed="false" customWidth="true" hidden="false" outlineLevel="0" max="5" min="4" style="1" width="24"/>
    <col collapsed="false" customWidth="true" hidden="false" outlineLevel="0" max="6" min="6" style="1" width="10"/>
  </cols>
  <sheetData>
    <row r="1" customFormat="false" ht="17.25" hidden="false" customHeight="true" outlineLevel="0" collapsed="false">
      <c r="A1" s="157" t="s">
        <v>825</v>
      </c>
    </row>
    <row r="2" customFormat="false" ht="30" hidden="false" customHeight="true" outlineLevel="0" collapsed="false">
      <c r="A2" s="200" t="s">
        <v>826</v>
      </c>
      <c r="B2" s="200"/>
      <c r="C2" s="200"/>
      <c r="D2" s="200"/>
      <c r="E2" s="200"/>
      <c r="F2" s="200"/>
    </row>
    <row r="4" customFormat="false" ht="15" hidden="false" customHeight="true" outlineLevel="0" collapsed="false">
      <c r="A4" s="22" t="s">
        <v>827</v>
      </c>
      <c r="B4" s="22"/>
      <c r="C4" s="22"/>
      <c r="D4" s="22"/>
      <c r="E4" s="22"/>
      <c r="F4" s="22"/>
    </row>
    <row r="5" customFormat="false" ht="15" hidden="false" customHeight="true" outlineLevel="0" collapsed="false">
      <c r="A5" s="163" t="s">
        <v>828</v>
      </c>
      <c r="B5" s="299" t="n">
        <f aca="false">'06 Cash-Flow'!B19</f>
        <v>3700000</v>
      </c>
      <c r="C5" s="299" t="n">
        <f aca="false">'06 Cash-Flow'!C19</f>
        <v>8500000</v>
      </c>
      <c r="D5" s="299" t="n">
        <f aca="false">'06 Cash-Flow'!D19</f>
        <v>6600000</v>
      </c>
      <c r="E5" s="299" t="n">
        <f aca="false">'06 Cash-Flow'!E19</f>
        <v>519500</v>
      </c>
      <c r="F5" s="172" t="s">
        <v>829</v>
      </c>
    </row>
    <row r="6" customFormat="false" ht="15" hidden="false" customHeight="true" outlineLevel="0" collapsed="false">
      <c r="A6" s="300" t="s">
        <v>830</v>
      </c>
      <c r="B6" s="300" t="n">
        <v>2027</v>
      </c>
      <c r="C6" s="300" t="n">
        <v>2028</v>
      </c>
      <c r="D6" s="300" t="n">
        <v>2029</v>
      </c>
      <c r="E6" s="300" t="n">
        <v>2030</v>
      </c>
    </row>
    <row r="8" customFormat="false" ht="15" hidden="false" customHeight="true" outlineLevel="0" collapsed="false">
      <c r="A8" s="22" t="s">
        <v>831</v>
      </c>
      <c r="B8" s="22"/>
      <c r="C8" s="22"/>
      <c r="D8" s="22"/>
      <c r="E8" s="22"/>
      <c r="F8" s="22"/>
    </row>
    <row r="9" customFormat="false" ht="15" hidden="false" customHeight="true" outlineLevel="0" collapsed="false">
      <c r="A9" s="301" t="s">
        <v>832</v>
      </c>
      <c r="B9" s="301" t="s">
        <v>833</v>
      </c>
      <c r="C9" s="301" t="s">
        <v>834</v>
      </c>
      <c r="D9" s="301" t="s">
        <v>835</v>
      </c>
      <c r="E9" s="301" t="s">
        <v>836</v>
      </c>
      <c r="F9" s="301" t="s">
        <v>837</v>
      </c>
    </row>
    <row r="10" customFormat="false" ht="15" hidden="false" customHeight="true" outlineLevel="0" collapsed="false">
      <c r="A10" s="302" t="s">
        <v>838</v>
      </c>
      <c r="B10" s="302"/>
      <c r="C10" s="302"/>
      <c r="D10" s="302"/>
      <c r="E10" s="302"/>
      <c r="F10" s="302"/>
    </row>
    <row r="11" customFormat="false" ht="27.75" hidden="false" customHeight="true" outlineLevel="0" collapsed="false">
      <c r="A11" s="303" t="s">
        <v>839</v>
      </c>
      <c r="B11" s="304" t="s">
        <v>840</v>
      </c>
      <c r="C11" s="304" t="s">
        <v>841</v>
      </c>
      <c r="D11" s="304" t="s">
        <v>842</v>
      </c>
      <c r="E11" s="304" t="s">
        <v>843</v>
      </c>
      <c r="F11" s="305" t="s">
        <v>844</v>
      </c>
    </row>
    <row r="12" customFormat="false" ht="27.75" hidden="false" customHeight="true" outlineLevel="0" collapsed="false">
      <c r="A12" s="303" t="s">
        <v>845</v>
      </c>
      <c r="B12" s="304" t="s">
        <v>846</v>
      </c>
      <c r="C12" s="304" t="s">
        <v>847</v>
      </c>
      <c r="D12" s="304" t="s">
        <v>848</v>
      </c>
      <c r="E12" s="304" t="s">
        <v>849</v>
      </c>
      <c r="F12" s="305" t="s">
        <v>844</v>
      </c>
    </row>
    <row r="13" customFormat="false" ht="27.75" hidden="false" customHeight="true" outlineLevel="0" collapsed="false">
      <c r="A13" s="303" t="s">
        <v>850</v>
      </c>
      <c r="B13" s="304" t="s">
        <v>851</v>
      </c>
      <c r="C13" s="304" t="s">
        <v>852</v>
      </c>
      <c r="D13" s="304" t="s">
        <v>853</v>
      </c>
      <c r="E13" s="304" t="s">
        <v>854</v>
      </c>
      <c r="F13" s="305" t="s">
        <v>844</v>
      </c>
    </row>
    <row r="14" customFormat="false" ht="27.75" hidden="false" customHeight="true" outlineLevel="0" collapsed="false">
      <c r="A14" s="303" t="s">
        <v>855</v>
      </c>
      <c r="B14" s="304" t="s">
        <v>856</v>
      </c>
      <c r="C14" s="304" t="s">
        <v>857</v>
      </c>
      <c r="D14" s="304" t="s">
        <v>858</v>
      </c>
      <c r="E14" s="304" t="s">
        <v>859</v>
      </c>
      <c r="F14" s="305" t="s">
        <v>844</v>
      </c>
    </row>
    <row r="15" customFormat="false" ht="27.75" hidden="false" customHeight="true" outlineLevel="0" collapsed="false">
      <c r="A15" s="303" t="s">
        <v>860</v>
      </c>
      <c r="B15" s="304" t="s">
        <v>861</v>
      </c>
      <c r="C15" s="304" t="s">
        <v>862</v>
      </c>
      <c r="D15" s="304" t="s">
        <v>863</v>
      </c>
      <c r="E15" s="304" t="s">
        <v>864</v>
      </c>
      <c r="F15" s="305" t="s">
        <v>844</v>
      </c>
    </row>
    <row r="16" customFormat="false" ht="27.75" hidden="false" customHeight="true" outlineLevel="0" collapsed="false">
      <c r="A16" s="303" t="s">
        <v>865</v>
      </c>
      <c r="B16" s="304" t="s">
        <v>866</v>
      </c>
      <c r="C16" s="304" t="s">
        <v>867</v>
      </c>
      <c r="D16" s="304" t="s">
        <v>868</v>
      </c>
      <c r="E16" s="304" t="s">
        <v>869</v>
      </c>
      <c r="F16" s="305" t="s">
        <v>844</v>
      </c>
    </row>
    <row r="17" customFormat="false" ht="27.75" hidden="false" customHeight="true" outlineLevel="0" collapsed="false">
      <c r="A17" s="303" t="s">
        <v>870</v>
      </c>
      <c r="B17" s="304" t="s">
        <v>871</v>
      </c>
      <c r="C17" s="304" t="s">
        <v>872</v>
      </c>
      <c r="D17" s="304" t="s">
        <v>873</v>
      </c>
      <c r="E17" s="304" t="s">
        <v>874</v>
      </c>
      <c r="F17" s="305" t="s">
        <v>844</v>
      </c>
    </row>
    <row r="18" customFormat="false" ht="27.75" hidden="false" customHeight="true" outlineLevel="0" collapsed="false">
      <c r="A18" s="303" t="s">
        <v>875</v>
      </c>
      <c r="B18" s="304" t="s">
        <v>876</v>
      </c>
      <c r="C18" s="304" t="s">
        <v>877</v>
      </c>
      <c r="D18" s="304" t="s">
        <v>878</v>
      </c>
      <c r="E18" s="304" t="s">
        <v>879</v>
      </c>
      <c r="F18" s="305" t="s">
        <v>880</v>
      </c>
    </row>
    <row r="19" customFormat="false" ht="27.75" hidden="false" customHeight="true" outlineLevel="0" collapsed="false">
      <c r="A19" s="303" t="s">
        <v>881</v>
      </c>
      <c r="B19" s="304" t="s">
        <v>882</v>
      </c>
      <c r="C19" s="304" t="s">
        <v>883</v>
      </c>
      <c r="D19" s="304" t="s">
        <v>884</v>
      </c>
      <c r="E19" s="304" t="s">
        <v>885</v>
      </c>
      <c r="F19" s="305" t="s">
        <v>880</v>
      </c>
    </row>
    <row r="20" customFormat="false" ht="15" hidden="false" customHeight="true" outlineLevel="0" collapsed="false">
      <c r="A20" s="302" t="s">
        <v>886</v>
      </c>
      <c r="B20" s="302"/>
      <c r="C20" s="302"/>
      <c r="D20" s="302"/>
      <c r="E20" s="302"/>
      <c r="F20" s="302"/>
    </row>
    <row r="21" customFormat="false" ht="27.75" hidden="false" customHeight="true" outlineLevel="0" collapsed="false">
      <c r="A21" s="303" t="s">
        <v>887</v>
      </c>
      <c r="B21" s="304" t="s">
        <v>888</v>
      </c>
      <c r="C21" s="304" t="s">
        <v>889</v>
      </c>
      <c r="D21" s="304" t="s">
        <v>890</v>
      </c>
      <c r="E21" s="304" t="s">
        <v>891</v>
      </c>
      <c r="F21" s="306" t="s">
        <v>892</v>
      </c>
    </row>
    <row r="22" customFormat="false" ht="27.75" hidden="false" customHeight="true" outlineLevel="0" collapsed="false">
      <c r="A22" s="303" t="s">
        <v>893</v>
      </c>
      <c r="B22" s="304" t="s">
        <v>894</v>
      </c>
      <c r="C22" s="304" t="s">
        <v>895</v>
      </c>
      <c r="D22" s="304" t="s">
        <v>896</v>
      </c>
      <c r="E22" s="304" t="s">
        <v>897</v>
      </c>
      <c r="F22" s="306" t="s">
        <v>892</v>
      </c>
    </row>
    <row r="23" customFormat="false" ht="27.75" hidden="false" customHeight="true" outlineLevel="0" collapsed="false">
      <c r="A23" s="303" t="s">
        <v>898</v>
      </c>
      <c r="B23" s="304" t="s">
        <v>899</v>
      </c>
      <c r="C23" s="304" t="s">
        <v>900</v>
      </c>
      <c r="D23" s="304" t="s">
        <v>901</v>
      </c>
      <c r="E23" s="304" t="s">
        <v>902</v>
      </c>
      <c r="F23" s="305" t="s">
        <v>880</v>
      </c>
    </row>
    <row r="24" customFormat="false" ht="27.75" hidden="false" customHeight="true" outlineLevel="0" collapsed="false">
      <c r="A24" s="303" t="s">
        <v>903</v>
      </c>
      <c r="B24" s="304" t="s">
        <v>904</v>
      </c>
      <c r="C24" s="304" t="s">
        <v>905</v>
      </c>
      <c r="D24" s="304" t="s">
        <v>906</v>
      </c>
      <c r="E24" s="304" t="s">
        <v>907</v>
      </c>
      <c r="F24" s="306" t="s">
        <v>892</v>
      </c>
    </row>
    <row r="25" customFormat="false" ht="27.75" hidden="false" customHeight="true" outlineLevel="0" collapsed="false">
      <c r="A25" s="303" t="s">
        <v>908</v>
      </c>
      <c r="B25" s="304" t="s">
        <v>909</v>
      </c>
      <c r="C25" s="304" t="s">
        <v>910</v>
      </c>
      <c r="D25" s="304" t="s">
        <v>911</v>
      </c>
      <c r="E25" s="304" t="s">
        <v>912</v>
      </c>
      <c r="F25" s="306" t="s">
        <v>892</v>
      </c>
    </row>
    <row r="26" customFormat="false" ht="27.75" hidden="false" customHeight="true" outlineLevel="0" collapsed="false">
      <c r="A26" s="303" t="s">
        <v>913</v>
      </c>
      <c r="B26" s="304" t="s">
        <v>914</v>
      </c>
      <c r="C26" s="304" t="s">
        <v>915</v>
      </c>
      <c r="D26" s="304" t="s">
        <v>916</v>
      </c>
      <c r="E26" s="304" t="s">
        <v>917</v>
      </c>
      <c r="F26" s="306" t="s">
        <v>918</v>
      </c>
    </row>
    <row r="27" customFormat="false" ht="27.75" hidden="false" customHeight="true" outlineLevel="0" collapsed="false">
      <c r="A27" s="303" t="s">
        <v>919</v>
      </c>
      <c r="B27" s="304" t="s">
        <v>888</v>
      </c>
      <c r="C27" s="304" t="s">
        <v>920</v>
      </c>
      <c r="D27" s="304" t="s">
        <v>128</v>
      </c>
      <c r="E27" s="304" t="s">
        <v>921</v>
      </c>
      <c r="F27" s="306" t="s">
        <v>892</v>
      </c>
    </row>
    <row r="28" customFormat="false" ht="27.75" hidden="false" customHeight="true" outlineLevel="0" collapsed="false">
      <c r="A28" s="303" t="s">
        <v>922</v>
      </c>
      <c r="B28" s="304" t="s">
        <v>923</v>
      </c>
      <c r="C28" s="304" t="s">
        <v>924</v>
      </c>
      <c r="D28" s="304" t="s">
        <v>925</v>
      </c>
      <c r="E28" s="304" t="s">
        <v>926</v>
      </c>
      <c r="F28" s="306" t="s">
        <v>927</v>
      </c>
    </row>
    <row r="29" customFormat="false" ht="15" hidden="false" customHeight="true" outlineLevel="0" collapsed="false">
      <c r="A29" s="302" t="s">
        <v>928</v>
      </c>
      <c r="B29" s="302"/>
      <c r="C29" s="302"/>
      <c r="D29" s="302"/>
      <c r="E29" s="302"/>
      <c r="F29" s="302"/>
    </row>
    <row r="30" customFormat="false" ht="27.75" hidden="false" customHeight="true" outlineLevel="0" collapsed="false">
      <c r="A30" s="303" t="s">
        <v>929</v>
      </c>
      <c r="B30" s="304" t="s">
        <v>888</v>
      </c>
      <c r="C30" s="304" t="s">
        <v>930</v>
      </c>
      <c r="D30" s="304" t="s">
        <v>931</v>
      </c>
      <c r="E30" s="304" t="s">
        <v>932</v>
      </c>
      <c r="F30" s="306" t="s">
        <v>892</v>
      </c>
    </row>
    <row r="31" customFormat="false" ht="27.75" hidden="false" customHeight="true" outlineLevel="0" collapsed="false">
      <c r="A31" s="303" t="s">
        <v>933</v>
      </c>
      <c r="B31" s="304" t="s">
        <v>888</v>
      </c>
      <c r="C31" s="304" t="s">
        <v>934</v>
      </c>
      <c r="D31" s="304" t="s">
        <v>935</v>
      </c>
      <c r="E31" s="304" t="s">
        <v>936</v>
      </c>
      <c r="F31" s="306" t="s">
        <v>892</v>
      </c>
    </row>
    <row r="32" customFormat="false" ht="27.75" hidden="false" customHeight="true" outlineLevel="0" collapsed="false">
      <c r="A32" s="303" t="s">
        <v>937</v>
      </c>
      <c r="B32" s="304" t="s">
        <v>888</v>
      </c>
      <c r="C32" s="304" t="s">
        <v>938</v>
      </c>
      <c r="D32" s="304" t="s">
        <v>935</v>
      </c>
      <c r="E32" s="304" t="s">
        <v>936</v>
      </c>
      <c r="F32" s="306" t="s">
        <v>892</v>
      </c>
    </row>
    <row r="33" customFormat="false" ht="15" hidden="false" customHeight="true" outlineLevel="0" collapsed="false">
      <c r="A33" s="302" t="s">
        <v>939</v>
      </c>
      <c r="B33" s="302"/>
      <c r="C33" s="302"/>
      <c r="D33" s="302"/>
      <c r="E33" s="302"/>
      <c r="F33" s="302"/>
    </row>
    <row r="34" customFormat="false" ht="27.75" hidden="false" customHeight="true" outlineLevel="0" collapsed="false">
      <c r="A34" s="303" t="s">
        <v>940</v>
      </c>
      <c r="B34" s="304" t="s">
        <v>941</v>
      </c>
      <c r="C34" s="304" t="s">
        <v>942</v>
      </c>
      <c r="D34" s="304" t="s">
        <v>128</v>
      </c>
      <c r="E34" s="304" t="s">
        <v>943</v>
      </c>
      <c r="F34" s="305" t="s">
        <v>844</v>
      </c>
    </row>
    <row r="36" customFormat="false" ht="39.75" hidden="false" customHeight="true" outlineLevel="0" collapsed="false">
      <c r="A36" s="200" t="s">
        <v>944</v>
      </c>
      <c r="B36" s="200"/>
      <c r="C36" s="200"/>
      <c r="D36" s="200"/>
      <c r="E36" s="200"/>
      <c r="F36" s="200"/>
    </row>
  </sheetData>
  <mergeCells count="8">
    <mergeCell ref="A2:F2"/>
    <mergeCell ref="A4:F4"/>
    <mergeCell ref="A8:F8"/>
    <mergeCell ref="A10:F10"/>
    <mergeCell ref="A20:F20"/>
    <mergeCell ref="A29:F29"/>
    <mergeCell ref="A33:F33"/>
    <mergeCell ref="A36:F36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4"/>
    <col collapsed="false" customWidth="true" hidden="false" outlineLevel="0" max="5" min="2" style="1" width="30"/>
  </cols>
  <sheetData>
    <row r="1" customFormat="false" ht="17.25" hidden="false" customHeight="true" outlineLevel="0" collapsed="false">
      <c r="A1" s="45" t="s">
        <v>945</v>
      </c>
      <c r="B1" s="46"/>
    </row>
    <row r="2" customFormat="false" ht="63.75" hidden="false" customHeight="true" outlineLevel="0" collapsed="false">
      <c r="A2" s="47" t="s">
        <v>946</v>
      </c>
      <c r="B2" s="46"/>
    </row>
    <row r="3" customFormat="false" ht="15" hidden="false" customHeight="true" outlineLevel="0" collapsed="false">
      <c r="A3" s="46"/>
      <c r="B3" s="46"/>
    </row>
    <row r="4" customFormat="false" ht="45.75" hidden="false" customHeight="true" outlineLevel="0" collapsed="false">
      <c r="A4" s="235" t="s">
        <v>947</v>
      </c>
      <c r="B4" s="307" t="s">
        <v>948</v>
      </c>
    </row>
    <row r="5" customFormat="false" ht="45.75" hidden="false" customHeight="true" outlineLevel="0" collapsed="false">
      <c r="A5" s="235" t="s">
        <v>949</v>
      </c>
      <c r="B5" s="307" t="s">
        <v>950</v>
      </c>
    </row>
    <row r="6" customFormat="false" ht="45.75" hidden="false" customHeight="true" outlineLevel="0" collapsed="false">
      <c r="A6" s="235" t="s">
        <v>951</v>
      </c>
      <c r="B6" s="307" t="s">
        <v>952</v>
      </c>
    </row>
    <row r="7" customFormat="false" ht="45.75" hidden="false" customHeight="true" outlineLevel="0" collapsed="false">
      <c r="A7" s="235" t="s">
        <v>953</v>
      </c>
      <c r="B7" s="307" t="s">
        <v>954</v>
      </c>
    </row>
    <row r="8" customFormat="false" ht="45.75" hidden="false" customHeight="true" outlineLevel="0" collapsed="false">
      <c r="A8" s="235" t="s">
        <v>955</v>
      </c>
      <c r="B8" s="307" t="s">
        <v>956</v>
      </c>
    </row>
    <row r="9" customFormat="false" ht="45.75" hidden="false" customHeight="true" outlineLevel="0" collapsed="false">
      <c r="A9" s="235" t="s">
        <v>957</v>
      </c>
      <c r="B9" s="307" t="s">
        <v>958</v>
      </c>
    </row>
    <row r="10" customFormat="false" ht="45.75" hidden="false" customHeight="true" outlineLevel="0" collapsed="false">
      <c r="A10" s="235" t="s">
        <v>959</v>
      </c>
      <c r="B10" s="307" t="s">
        <v>960</v>
      </c>
    </row>
    <row r="12" customFormat="false" ht="15" hidden="false" customHeight="true" outlineLevel="0" collapsed="false">
      <c r="A12" s="22" t="s">
        <v>961</v>
      </c>
      <c r="B12" s="22"/>
      <c r="C12" s="22"/>
      <c r="D12" s="22"/>
      <c r="E12" s="22"/>
    </row>
    <row r="13" customFormat="false" ht="51.75" hidden="false" customHeight="true" outlineLevel="0" collapsed="false">
      <c r="A13" s="308" t="s">
        <v>962</v>
      </c>
      <c r="B13" s="309" t="s">
        <v>963</v>
      </c>
      <c r="C13" s="309"/>
      <c r="D13" s="309"/>
      <c r="E13" s="309"/>
    </row>
    <row r="14" customFormat="false" ht="51.75" hidden="false" customHeight="true" outlineLevel="0" collapsed="false">
      <c r="A14" s="308" t="s">
        <v>964</v>
      </c>
      <c r="B14" s="309" t="s">
        <v>965</v>
      </c>
      <c r="C14" s="309"/>
      <c r="D14" s="309"/>
      <c r="E14" s="309"/>
    </row>
    <row r="15" customFormat="false" ht="51.75" hidden="false" customHeight="true" outlineLevel="0" collapsed="false">
      <c r="A15" s="308" t="s">
        <v>966</v>
      </c>
      <c r="B15" s="309" t="s">
        <v>967</v>
      </c>
      <c r="C15" s="309"/>
      <c r="D15" s="309"/>
      <c r="E15" s="309"/>
    </row>
    <row r="16" customFormat="false" ht="51.75" hidden="false" customHeight="true" outlineLevel="0" collapsed="false">
      <c r="A16" s="308" t="s">
        <v>968</v>
      </c>
      <c r="B16" s="309" t="s">
        <v>969</v>
      </c>
      <c r="C16" s="309"/>
      <c r="D16" s="309"/>
      <c r="E16" s="309"/>
    </row>
    <row r="17" customFormat="false" ht="51.75" hidden="false" customHeight="true" outlineLevel="0" collapsed="false">
      <c r="A17" s="308" t="s">
        <v>970</v>
      </c>
      <c r="B17" s="309" t="s">
        <v>971</v>
      </c>
      <c r="C17" s="309"/>
      <c r="D17" s="309"/>
      <c r="E17" s="309"/>
    </row>
    <row r="18" customFormat="false" ht="57.75" hidden="false" customHeight="true" outlineLevel="0" collapsed="false">
      <c r="A18" s="310" t="s">
        <v>972</v>
      </c>
      <c r="B18" s="219" t="s">
        <v>973</v>
      </c>
      <c r="C18" s="219"/>
      <c r="D18" s="219"/>
      <c r="E18" s="219"/>
    </row>
    <row r="19" customFormat="false" ht="57.75" hidden="false" customHeight="true" outlineLevel="0" collapsed="false">
      <c r="A19" s="310" t="s">
        <v>974</v>
      </c>
      <c r="B19" s="219" t="s">
        <v>975</v>
      </c>
      <c r="C19" s="219"/>
      <c r="D19" s="219"/>
      <c r="E19" s="219"/>
    </row>
    <row r="20" customFormat="false" ht="57.75" hidden="false" customHeight="true" outlineLevel="0" collapsed="false">
      <c r="A20" s="310" t="s">
        <v>976</v>
      </c>
      <c r="B20" s="219" t="s">
        <v>977</v>
      </c>
      <c r="C20" s="219"/>
      <c r="D20" s="219"/>
      <c r="E20" s="219"/>
    </row>
    <row r="22" customFormat="false" ht="30" hidden="false" customHeight="true" outlineLevel="0" collapsed="false">
      <c r="A22" s="285" t="s">
        <v>978</v>
      </c>
      <c r="B22" s="219" t="s">
        <v>979</v>
      </c>
      <c r="C22" s="219"/>
      <c r="D22" s="219"/>
      <c r="E22" s="219"/>
    </row>
    <row r="23" customFormat="false" ht="30" hidden="false" customHeight="true" outlineLevel="0" collapsed="false">
      <c r="A23" s="285" t="s">
        <v>980</v>
      </c>
      <c r="B23" s="219" t="s">
        <v>981</v>
      </c>
      <c r="C23" s="219"/>
      <c r="D23" s="219"/>
      <c r="E23" s="219"/>
    </row>
    <row r="24" customFormat="false" ht="30" hidden="false" customHeight="true" outlineLevel="0" collapsed="false">
      <c r="A24" s="285" t="s">
        <v>982</v>
      </c>
      <c r="B24" s="219" t="s">
        <v>983</v>
      </c>
      <c r="C24" s="219"/>
      <c r="D24" s="219"/>
      <c r="E24" s="219"/>
    </row>
    <row r="25" customFormat="false" ht="30" hidden="false" customHeight="true" outlineLevel="0" collapsed="false">
      <c r="A25" s="285" t="s">
        <v>984</v>
      </c>
      <c r="B25" s="219" t="s">
        <v>985</v>
      </c>
      <c r="C25" s="219"/>
      <c r="D25" s="219"/>
      <c r="E25" s="219"/>
    </row>
    <row r="27" customFormat="false" ht="15" hidden="false" customHeight="false" outlineLevel="0" collapsed="false">
      <c r="A27" s="311" t="s">
        <v>986</v>
      </c>
      <c r="B27" s="311"/>
      <c r="C27" s="311"/>
      <c r="D27" s="311"/>
      <c r="E27" s="311"/>
    </row>
    <row r="28" customFormat="false" ht="27.75" hidden="false" customHeight="true" outlineLevel="0" collapsed="false">
      <c r="A28" s="312" t="s">
        <v>987</v>
      </c>
      <c r="B28" s="219" t="s">
        <v>988</v>
      </c>
      <c r="C28" s="219"/>
      <c r="D28" s="219"/>
      <c r="E28" s="219"/>
    </row>
    <row r="29" customFormat="false" ht="27.75" hidden="false" customHeight="true" outlineLevel="0" collapsed="false">
      <c r="A29" s="312" t="s">
        <v>989</v>
      </c>
      <c r="B29" s="219" t="s">
        <v>990</v>
      </c>
      <c r="C29" s="219"/>
      <c r="D29" s="219"/>
      <c r="E29" s="219"/>
    </row>
    <row r="30" customFormat="false" ht="27.75" hidden="false" customHeight="true" outlineLevel="0" collapsed="false">
      <c r="A30" s="312" t="s">
        <v>991</v>
      </c>
      <c r="B30" s="219" t="s">
        <v>992</v>
      </c>
      <c r="C30" s="219"/>
      <c r="D30" s="219"/>
      <c r="E30" s="219"/>
    </row>
    <row r="31" customFormat="false" ht="27.75" hidden="false" customHeight="true" outlineLevel="0" collapsed="false">
      <c r="A31" s="312" t="s">
        <v>993</v>
      </c>
      <c r="B31" s="219" t="s">
        <v>994</v>
      </c>
      <c r="C31" s="219"/>
      <c r="D31" s="219"/>
      <c r="E31" s="219"/>
    </row>
    <row r="32" customFormat="false" ht="27.75" hidden="false" customHeight="true" outlineLevel="0" collapsed="false">
      <c r="A32" s="312" t="s">
        <v>995</v>
      </c>
      <c r="B32" s="219" t="s">
        <v>996</v>
      </c>
      <c r="C32" s="219"/>
      <c r="D32" s="219"/>
      <c r="E32" s="219"/>
    </row>
    <row r="33" customFormat="false" ht="45.75" hidden="false" customHeight="true" outlineLevel="0" collapsed="false">
      <c r="A33" s="313" t="s">
        <v>997</v>
      </c>
      <c r="B33" s="314" t="s">
        <v>998</v>
      </c>
      <c r="C33" s="314"/>
      <c r="D33" s="314"/>
      <c r="E33" s="314"/>
    </row>
  </sheetData>
  <mergeCells count="20">
    <mergeCell ref="A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2:E22"/>
    <mergeCell ref="B23:E23"/>
    <mergeCell ref="B24:E24"/>
    <mergeCell ref="B25:E25"/>
    <mergeCell ref="A27:E27"/>
    <mergeCell ref="B28:E28"/>
    <mergeCell ref="B29:E29"/>
    <mergeCell ref="B30:E30"/>
    <mergeCell ref="B31:E31"/>
    <mergeCell ref="B32:E32"/>
    <mergeCell ref="B33:E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46"/>
    <col collapsed="false" customWidth="true" hidden="false" outlineLevel="0" max="3" min="2" style="1" width="17"/>
    <col collapsed="false" customWidth="true" hidden="false" outlineLevel="0" max="4" min="4" style="1" width="15"/>
    <col collapsed="false" customWidth="true" hidden="false" outlineLevel="0" max="5" min="5" style="1" width="12"/>
  </cols>
  <sheetData>
    <row r="1" customFormat="false" ht="17.25" hidden="false" customHeight="true" outlineLevel="0" collapsed="false">
      <c r="A1" s="45" t="s">
        <v>999</v>
      </c>
      <c r="B1" s="46"/>
      <c r="C1" s="46"/>
      <c r="D1" s="46"/>
      <c r="E1" s="46"/>
    </row>
    <row r="2" customFormat="false" ht="25.5" hidden="false" customHeight="true" outlineLevel="0" collapsed="false">
      <c r="A2" s="125" t="s">
        <v>1000</v>
      </c>
      <c r="B2" s="125"/>
      <c r="C2" s="125"/>
      <c r="D2" s="125"/>
      <c r="E2" s="125"/>
    </row>
    <row r="3" customFormat="false" ht="15" hidden="false" customHeight="true" outlineLevel="0" collapsed="false">
      <c r="A3" s="46"/>
      <c r="B3" s="46"/>
      <c r="C3" s="46"/>
      <c r="D3" s="46"/>
      <c r="E3" s="46"/>
    </row>
    <row r="4" customFormat="false" ht="15" hidden="false" customHeight="true" outlineLevel="0" collapsed="false">
      <c r="A4" s="110" t="s">
        <v>1001</v>
      </c>
      <c r="B4" s="110" t="s">
        <v>1002</v>
      </c>
      <c r="C4" s="110" t="s">
        <v>1003</v>
      </c>
      <c r="D4" s="110" t="s">
        <v>1004</v>
      </c>
      <c r="E4" s="110" t="s">
        <v>1005</v>
      </c>
    </row>
    <row r="5" customFormat="false" ht="21.75" hidden="false" customHeight="true" outlineLevel="0" collapsed="false">
      <c r="A5" s="128" t="s">
        <v>1006</v>
      </c>
      <c r="B5" s="112" t="n">
        <f aca="false">'03 CTS_by_Stream'!B21</f>
        <v>108255000</v>
      </c>
      <c r="C5" s="112" t="n">
        <f aca="false">'05 P&amp;L'!J12</f>
        <v>108255000</v>
      </c>
      <c r="D5" s="315" t="n">
        <f aca="false">B5-C5</f>
        <v>0</v>
      </c>
      <c r="E5" s="196" t="str">
        <f aca="false">IF(ABS(D5)&lt;1,"PASS","FAIL")</f>
        <v>PASS</v>
      </c>
    </row>
    <row r="6" customFormat="false" ht="21.75" hidden="false" customHeight="true" outlineLevel="0" collapsed="false">
      <c r="A6" s="128" t="s">
        <v>1007</v>
      </c>
      <c r="B6" s="112" t="n">
        <f aca="false">'03 CTS_by_Stream'!B45</f>
        <v>108255000</v>
      </c>
      <c r="C6" s="112" t="n">
        <f aca="false">'03 CTS_by_Stream'!B21</f>
        <v>108255000</v>
      </c>
      <c r="D6" s="315" t="n">
        <f aca="false">B6-C6</f>
        <v>0</v>
      </c>
      <c r="E6" s="196" t="str">
        <f aca="false">IF(ABS(D6)&lt;1,"PASS","FAIL")</f>
        <v>PASS</v>
      </c>
    </row>
    <row r="7" customFormat="false" ht="21.75" hidden="false" customHeight="true" outlineLevel="0" collapsed="false">
      <c r="A7" s="128" t="s">
        <v>1008</v>
      </c>
      <c r="B7" s="111" t="n">
        <f aca="false">'03 CTS_by_Stream'!B35</f>
        <v>1</v>
      </c>
      <c r="C7" s="111" t="n">
        <f aca="false">1</f>
        <v>1</v>
      </c>
      <c r="D7" s="315" t="n">
        <f aca="false">B7-C7</f>
        <v>0</v>
      </c>
      <c r="E7" s="196" t="str">
        <f aca="false">IF(ABS(D7)&lt;0.0001,"PASS","FAIL")</f>
        <v>PASS</v>
      </c>
    </row>
    <row r="8" customFormat="false" ht="21.75" hidden="false" customHeight="true" outlineLevel="0" collapsed="false">
      <c r="A8" s="128" t="s">
        <v>1009</v>
      </c>
      <c r="B8" s="112" t="n">
        <f aca="false">'03 CTS_by_Stream'!C35</f>
        <v>3150000</v>
      </c>
      <c r="C8" s="112" t="n">
        <f aca="false">'02 Assumptions'!B32</f>
        <v>3150000</v>
      </c>
      <c r="D8" s="315" t="n">
        <f aca="false">B8-C8</f>
        <v>0</v>
      </c>
      <c r="E8" s="196" t="str">
        <f aca="false">IF(ABS(D8)&lt;1,"PASS","FAIL")</f>
        <v>PASS</v>
      </c>
    </row>
    <row r="9" customFormat="false" ht="21.75" hidden="false" customHeight="true" outlineLevel="0" collapsed="false">
      <c r="A9" s="128" t="s">
        <v>1010</v>
      </c>
      <c r="B9" s="112" t="n">
        <f aca="false">'05 P&amp;L'!J22</f>
        <v>15850000</v>
      </c>
      <c r="C9" s="112" t="n">
        <f aca="false">'04 Roadmap'!H30</f>
        <v>15850000</v>
      </c>
      <c r="D9" s="315" t="n">
        <f aca="false">B9-C9</f>
        <v>0</v>
      </c>
      <c r="E9" s="196" t="str">
        <f aca="false">IF(ABS(D9)&lt;1,"PASS","FAIL")</f>
        <v>PASS</v>
      </c>
    </row>
    <row r="10" customFormat="false" ht="21.75" hidden="false" customHeight="true" outlineLevel="0" collapsed="false">
      <c r="A10" s="128" t="s">
        <v>1011</v>
      </c>
      <c r="B10" s="112" t="n">
        <f aca="false">SUM('04 Roadmap'!B30:G30)</f>
        <v>15850000</v>
      </c>
      <c r="C10" s="112" t="n">
        <f aca="false">'04 Roadmap'!H30</f>
        <v>15850000</v>
      </c>
      <c r="D10" s="315" t="n">
        <f aca="false">B10-C10</f>
        <v>0</v>
      </c>
      <c r="E10" s="196" t="str">
        <f aca="false">IF(ABS(D10)&lt;1,"PASS","FAIL")</f>
        <v>PASS</v>
      </c>
    </row>
    <row r="11" customFormat="false" ht="21.75" hidden="false" customHeight="true" outlineLevel="0" collapsed="false">
      <c r="A11" s="128" t="s">
        <v>1012</v>
      </c>
      <c r="B11" s="112" t="n">
        <f aca="false">'05 P&amp;L'!J24</f>
        <v>77144024.9285714</v>
      </c>
      <c r="C11" s="112" t="n">
        <f aca="false">'05 P&amp;L'!J18-'05 P&amp;L'!J22</f>
        <v>77144024.9285714</v>
      </c>
      <c r="D11" s="315" t="n">
        <f aca="false">B11-C11</f>
        <v>0</v>
      </c>
      <c r="E11" s="196" t="str">
        <f aca="false">IF(ABS(D11)&lt;1,"PASS","FAIL")</f>
        <v>PASS</v>
      </c>
    </row>
    <row r="12" customFormat="false" ht="21.75" hidden="false" customHeight="true" outlineLevel="0" collapsed="false">
      <c r="A12" s="128" t="s">
        <v>1013</v>
      </c>
      <c r="B12" s="112" t="n">
        <f aca="false">'05 P&amp;L'!B34</f>
        <v>19319500</v>
      </c>
      <c r="C12" s="112" t="n">
        <f aca="false">19319500</f>
        <v>19319500</v>
      </c>
      <c r="D12" s="315" t="n">
        <f aca="false">B12-C12</f>
        <v>0</v>
      </c>
      <c r="E12" s="196" t="str">
        <f aca="false">IF(ABS(D12)&lt;1,"PASS","FAIL")</f>
        <v>PASS</v>
      </c>
    </row>
    <row r="13" customFormat="false" ht="21.75" hidden="false" customHeight="true" outlineLevel="0" collapsed="false">
      <c r="A13" s="128" t="s">
        <v>1014</v>
      </c>
      <c r="B13" s="112" t="n">
        <f aca="false">'06 Cash-Flow'!J28</f>
        <v>478916725.585776</v>
      </c>
      <c r="C13" s="112" t="n">
        <f aca="false">'07 Balance_Sheet'!J11</f>
        <v>478916725.585775</v>
      </c>
      <c r="D13" s="315" t="n">
        <f aca="false">B13-C13</f>
        <v>0</v>
      </c>
      <c r="E13" s="196" t="str">
        <f aca="false">IF(ABS(D13)&lt;1,"PASS","FAIL")</f>
        <v>PASS</v>
      </c>
    </row>
    <row r="14" customFormat="false" ht="21.75" hidden="false" customHeight="true" outlineLevel="0" collapsed="false">
      <c r="A14" s="128" t="s">
        <v>1015</v>
      </c>
      <c r="B14" s="112" t="n">
        <f aca="false">SUM('06 Cash-Flow'!B19:J19)</f>
        <v>19319500</v>
      </c>
      <c r="C14" s="112" t="n">
        <f aca="false">'05 P&amp;L'!B34</f>
        <v>19319500</v>
      </c>
      <c r="D14" s="315" t="n">
        <f aca="false">B14-C14</f>
        <v>0</v>
      </c>
      <c r="E14" s="196" t="str">
        <f aca="false">IF(ABS(D14)&lt;1,"PASS","FAIL")</f>
        <v>PASS</v>
      </c>
    </row>
    <row r="15" customFormat="false" ht="21.75" hidden="false" customHeight="true" outlineLevel="0" collapsed="false">
      <c r="A15" s="128" t="s">
        <v>1016</v>
      </c>
      <c r="B15" s="112" t="n">
        <f aca="false">'06 Cash-Flow'!B19</f>
        <v>3700000</v>
      </c>
      <c r="C15" s="112" t="n">
        <f aca="false">-'06 Cash-Flow'!B15</f>
        <v>3700000</v>
      </c>
      <c r="D15" s="315" t="n">
        <f aca="false">B15-C15</f>
        <v>0</v>
      </c>
      <c r="E15" s="196" t="str">
        <f aca="false">IF(ABS(D15)&lt;1,"PASS","FAIL")</f>
        <v>PASS</v>
      </c>
    </row>
    <row r="16" customFormat="false" ht="15" hidden="false" customHeight="true" outlineLevel="0" collapsed="false">
      <c r="A16" s="128" t="s">
        <v>1017</v>
      </c>
      <c r="B16" s="315" t="n">
        <f aca="false">SUMPRODUCT(ABS('07 Balance_Sheet'!B30:J30))</f>
        <v>0</v>
      </c>
      <c r="C16" s="315" t="n">
        <f aca="false">0</f>
        <v>0</v>
      </c>
      <c r="D16" s="315" t="n">
        <f aca="false">B16-C16</f>
        <v>0</v>
      </c>
      <c r="E16" s="196" t="str">
        <f aca="false">IF(ABS(D16)&lt;1,"PASS","FAIL")</f>
        <v>PASS</v>
      </c>
    </row>
    <row r="17" customFormat="false" ht="15" hidden="false" customHeight="true" outlineLevel="0" collapsed="false">
      <c r="A17" s="316" t="s">
        <v>1018</v>
      </c>
      <c r="B17" s="317" t="str">
        <f aca="false">IF(COUNTIF(E5:E16,"FAIL")=0,"ALL CHECKS PASS","FAILURES PRESENT")</f>
        <v>ALL CHECKS PASS</v>
      </c>
      <c r="C17" s="317"/>
      <c r="D17" s="317"/>
      <c r="E17" s="317"/>
    </row>
  </sheetData>
  <mergeCells count="2">
    <mergeCell ref="A2:E2"/>
    <mergeCell ref="B17:E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9"/>
    <col collapsed="false" customWidth="true" hidden="false" outlineLevel="0" max="3" min="3" style="1" width="34"/>
    <col collapsed="false" customWidth="true" hidden="false" outlineLevel="0" max="4" min="4" style="1" width="40"/>
    <col collapsed="false" customWidth="true" hidden="false" outlineLevel="0" max="5" min="5" style="1" width="9"/>
    <col collapsed="false" customWidth="true" hidden="false" outlineLevel="0" max="6" min="6" style="1" width="12"/>
  </cols>
  <sheetData>
    <row r="1" customFormat="false" ht="17.25" hidden="false" customHeight="true" outlineLevel="0" collapsed="false">
      <c r="A1" s="45" t="s">
        <v>1019</v>
      </c>
      <c r="B1" s="46"/>
      <c r="C1" s="46"/>
      <c r="D1" s="46"/>
      <c r="E1" s="46"/>
      <c r="F1" s="46"/>
    </row>
    <row r="2" customFormat="false" ht="30" hidden="false" customHeight="true" outlineLevel="0" collapsed="false">
      <c r="A2" s="125" t="s">
        <v>1020</v>
      </c>
      <c r="B2" s="125"/>
      <c r="C2" s="125"/>
      <c r="D2" s="125"/>
      <c r="E2" s="125"/>
      <c r="F2" s="125"/>
    </row>
    <row r="3" customFormat="false" ht="15" hidden="false" customHeight="true" outlineLevel="0" collapsed="false">
      <c r="A3" s="46"/>
      <c r="B3" s="46"/>
      <c r="C3" s="46"/>
      <c r="D3" s="46"/>
      <c r="E3" s="46"/>
      <c r="F3" s="46"/>
    </row>
    <row r="4" customFormat="false" ht="15" hidden="false" customHeight="true" outlineLevel="0" collapsed="false">
      <c r="A4" s="110" t="s">
        <v>1021</v>
      </c>
      <c r="B4" s="110" t="s">
        <v>1022</v>
      </c>
      <c r="C4" s="110" t="s">
        <v>1023</v>
      </c>
      <c r="D4" s="110" t="s">
        <v>1024</v>
      </c>
      <c r="E4" s="110" t="s">
        <v>1025</v>
      </c>
      <c r="F4" s="110" t="s">
        <v>1026</v>
      </c>
    </row>
    <row r="5" customFormat="false" ht="42" hidden="false" customHeight="true" outlineLevel="0" collapsed="false">
      <c r="A5" s="318" t="s">
        <v>1027</v>
      </c>
      <c r="B5" s="319" t="s">
        <v>158</v>
      </c>
      <c r="C5" s="320" t="s">
        <v>1028</v>
      </c>
      <c r="D5" s="320" t="s">
        <v>1029</v>
      </c>
      <c r="E5" s="321" t="s">
        <v>1030</v>
      </c>
      <c r="F5" s="195" t="s">
        <v>1031</v>
      </c>
    </row>
    <row r="6" customFormat="false" ht="36" hidden="false" customHeight="true" outlineLevel="0" collapsed="false">
      <c r="A6" s="318" t="s">
        <v>1032</v>
      </c>
      <c r="B6" s="322" t="s">
        <v>113</v>
      </c>
      <c r="C6" s="320" t="s">
        <v>1033</v>
      </c>
      <c r="D6" s="320" t="s">
        <v>1034</v>
      </c>
      <c r="E6" s="321"/>
      <c r="F6" s="195" t="s">
        <v>1031</v>
      </c>
    </row>
    <row r="7" customFormat="false" ht="36" hidden="false" customHeight="true" outlineLevel="0" collapsed="false">
      <c r="A7" s="318" t="s">
        <v>1035</v>
      </c>
      <c r="B7" s="319" t="s">
        <v>158</v>
      </c>
      <c r="C7" s="320" t="s">
        <v>1036</v>
      </c>
      <c r="D7" s="320" t="s">
        <v>1037</v>
      </c>
      <c r="E7" s="321"/>
      <c r="F7" s="195" t="s">
        <v>1031</v>
      </c>
    </row>
    <row r="8" customFormat="false" ht="36" hidden="false" customHeight="true" outlineLevel="0" collapsed="false">
      <c r="A8" s="318" t="s">
        <v>1038</v>
      </c>
      <c r="B8" s="319" t="s">
        <v>158</v>
      </c>
      <c r="C8" s="320" t="s">
        <v>1039</v>
      </c>
      <c r="D8" s="320" t="s">
        <v>1040</v>
      </c>
      <c r="E8" s="321"/>
      <c r="F8" s="195" t="s">
        <v>1031</v>
      </c>
    </row>
    <row r="9" customFormat="false" ht="36" hidden="false" customHeight="true" outlineLevel="0" collapsed="false">
      <c r="A9" s="318" t="s">
        <v>1041</v>
      </c>
      <c r="B9" s="322" t="s">
        <v>113</v>
      </c>
      <c r="C9" s="320" t="s">
        <v>1042</v>
      </c>
      <c r="D9" s="320" t="s">
        <v>1043</v>
      </c>
      <c r="E9" s="321"/>
      <c r="F9" s="195" t="s">
        <v>1031</v>
      </c>
    </row>
    <row r="10" customFormat="false" ht="36" hidden="false" customHeight="true" outlineLevel="0" collapsed="false">
      <c r="A10" s="318" t="s">
        <v>1044</v>
      </c>
      <c r="B10" s="322" t="s">
        <v>113</v>
      </c>
      <c r="C10" s="320" t="s">
        <v>1045</v>
      </c>
      <c r="D10" s="320" t="s">
        <v>1046</v>
      </c>
      <c r="E10" s="321"/>
      <c r="F10" s="195" t="s">
        <v>1031</v>
      </c>
    </row>
    <row r="11" customFormat="false" ht="36" hidden="false" customHeight="true" outlineLevel="0" collapsed="false">
      <c r="A11" s="318" t="s">
        <v>1047</v>
      </c>
      <c r="B11" s="319" t="s">
        <v>158</v>
      </c>
      <c r="C11" s="320" t="s">
        <v>1048</v>
      </c>
      <c r="D11" s="320" t="s">
        <v>1049</v>
      </c>
      <c r="E11" s="321"/>
      <c r="F11" s="195" t="s">
        <v>1031</v>
      </c>
    </row>
    <row r="12" customFormat="false" ht="36" hidden="false" customHeight="true" outlineLevel="0" collapsed="false">
      <c r="A12" s="318" t="s">
        <v>1050</v>
      </c>
      <c r="B12" s="319" t="s">
        <v>158</v>
      </c>
      <c r="C12" s="320" t="s">
        <v>1051</v>
      </c>
      <c r="D12" s="320" t="s">
        <v>1052</v>
      </c>
      <c r="E12" s="321" t="s">
        <v>1030</v>
      </c>
      <c r="F12" s="195" t="s">
        <v>1053</v>
      </c>
    </row>
    <row r="13" customFormat="false" ht="36" hidden="false" customHeight="true" outlineLevel="0" collapsed="false">
      <c r="A13" s="318" t="s">
        <v>1054</v>
      </c>
      <c r="B13" s="319" t="s">
        <v>158</v>
      </c>
      <c r="C13" s="320" t="s">
        <v>1055</v>
      </c>
      <c r="D13" s="320" t="s">
        <v>1056</v>
      </c>
      <c r="E13" s="321" t="s">
        <v>1030</v>
      </c>
      <c r="F13" s="195" t="s">
        <v>1057</v>
      </c>
    </row>
    <row r="14" customFormat="false" ht="36" hidden="false" customHeight="true" outlineLevel="0" collapsed="false">
      <c r="A14" s="318" t="s">
        <v>1058</v>
      </c>
      <c r="B14" s="319" t="s">
        <v>158</v>
      </c>
      <c r="C14" s="320" t="s">
        <v>1059</v>
      </c>
      <c r="D14" s="320" t="s">
        <v>1060</v>
      </c>
      <c r="E14" s="321"/>
      <c r="F14" s="195" t="s">
        <v>1061</v>
      </c>
    </row>
    <row r="15" customFormat="false" ht="36" hidden="false" customHeight="true" outlineLevel="0" collapsed="false">
      <c r="A15" s="318" t="s">
        <v>1062</v>
      </c>
      <c r="B15" s="319" t="s">
        <v>158</v>
      </c>
      <c r="C15" s="320" t="s">
        <v>1063</v>
      </c>
      <c r="D15" s="320" t="s">
        <v>1064</v>
      </c>
      <c r="E15" s="321"/>
      <c r="F15" s="195" t="s">
        <v>1061</v>
      </c>
    </row>
    <row r="16" customFormat="false" ht="36" hidden="false" customHeight="true" outlineLevel="0" collapsed="false">
      <c r="A16" s="318" t="s">
        <v>1065</v>
      </c>
      <c r="B16" s="319" t="s">
        <v>158</v>
      </c>
      <c r="C16" s="320" t="s">
        <v>1066</v>
      </c>
      <c r="D16" s="320" t="s">
        <v>1067</v>
      </c>
      <c r="E16" s="321" t="s">
        <v>1030</v>
      </c>
      <c r="F16" s="195" t="s">
        <v>1068</v>
      </c>
    </row>
    <row r="17" customFormat="false" ht="36" hidden="false" customHeight="true" outlineLevel="0" collapsed="false">
      <c r="A17" s="318" t="s">
        <v>1069</v>
      </c>
      <c r="B17" s="322" t="s">
        <v>113</v>
      </c>
      <c r="C17" s="320" t="s">
        <v>1070</v>
      </c>
      <c r="D17" s="320" t="s">
        <v>1071</v>
      </c>
      <c r="E17" s="321" t="s">
        <v>1030</v>
      </c>
      <c r="F17" s="195" t="s">
        <v>1072</v>
      </c>
    </row>
    <row r="18" customFormat="false" ht="36" hidden="false" customHeight="true" outlineLevel="0" collapsed="false">
      <c r="A18" s="318" t="s">
        <v>1073</v>
      </c>
      <c r="B18" s="319" t="s">
        <v>158</v>
      </c>
      <c r="C18" s="320" t="s">
        <v>1074</v>
      </c>
      <c r="D18" s="320" t="s">
        <v>1075</v>
      </c>
      <c r="E18" s="321" t="s">
        <v>1030</v>
      </c>
      <c r="F18" s="195" t="s">
        <v>1061</v>
      </c>
    </row>
    <row r="19" customFormat="false" ht="36" hidden="false" customHeight="true" outlineLevel="0" collapsed="false">
      <c r="A19" s="318" t="s">
        <v>1076</v>
      </c>
      <c r="B19" s="322" t="s">
        <v>113</v>
      </c>
      <c r="C19" s="320" t="s">
        <v>1077</v>
      </c>
      <c r="D19" s="320" t="s">
        <v>1078</v>
      </c>
      <c r="E19" s="321"/>
      <c r="F19" s="195" t="s">
        <v>1057</v>
      </c>
    </row>
    <row r="20" customFormat="false" ht="36" hidden="false" customHeight="true" outlineLevel="0" collapsed="false">
      <c r="A20" s="318" t="s">
        <v>1079</v>
      </c>
      <c r="B20" s="322" t="s">
        <v>113</v>
      </c>
      <c r="C20" s="320" t="s">
        <v>1080</v>
      </c>
      <c r="D20" s="320" t="s">
        <v>1081</v>
      </c>
      <c r="E20" s="321"/>
      <c r="F20" s="195" t="s">
        <v>1082</v>
      </c>
    </row>
    <row r="21" customFormat="false" ht="36" hidden="false" customHeight="true" outlineLevel="0" collapsed="false">
      <c r="A21" s="318" t="s">
        <v>1083</v>
      </c>
      <c r="B21" s="322" t="s">
        <v>113</v>
      </c>
      <c r="C21" s="320" t="s">
        <v>1084</v>
      </c>
      <c r="D21" s="320" t="s">
        <v>1085</v>
      </c>
      <c r="E21" s="321"/>
      <c r="F21" s="195" t="s">
        <v>1086</v>
      </c>
    </row>
    <row r="22" customFormat="false" ht="15" hidden="false" customHeight="true" outlineLevel="0" collapsed="false">
      <c r="A22" s="46"/>
      <c r="B22" s="46"/>
      <c r="C22" s="46"/>
      <c r="D22" s="46"/>
      <c r="E22" s="46"/>
      <c r="F22" s="46"/>
    </row>
    <row r="23" customFormat="false" ht="15" hidden="false" customHeight="true" outlineLevel="0" collapsed="false">
      <c r="A23" s="323" t="s">
        <v>1087</v>
      </c>
      <c r="B23" s="46"/>
      <c r="C23" s="324" t="s">
        <v>1088</v>
      </c>
      <c r="D23" s="324"/>
      <c r="E23" s="324"/>
      <c r="F23" s="324"/>
    </row>
    <row r="24" customFormat="false" ht="30" hidden="false" customHeight="true" outlineLevel="0" collapsed="false">
      <c r="A24" s="125" t="s">
        <v>1089</v>
      </c>
      <c r="B24" s="125"/>
      <c r="C24" s="125"/>
      <c r="D24" s="125"/>
      <c r="E24" s="125"/>
      <c r="F24" s="125"/>
    </row>
  </sheetData>
  <mergeCells count="3">
    <mergeCell ref="A2:F2"/>
    <mergeCell ref="C23:F23"/>
    <mergeCell ref="A24:F24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50"/>
    <col collapsed="false" customWidth="true" hidden="false" outlineLevel="0" max="2" min="2" style="1" width="3"/>
    <col collapsed="false" customWidth="true" hidden="false" outlineLevel="0" max="5" min="3" style="1" width="15"/>
    <col collapsed="false" customWidth="true" hidden="false" outlineLevel="0" max="6" min="6" style="1" width="7"/>
    <col collapsed="false" customWidth="true" hidden="false" outlineLevel="0" max="7" min="7" style="1" width="34"/>
  </cols>
  <sheetData>
    <row r="1" customFormat="false" ht="17.25" hidden="false" customHeight="true" outlineLevel="0" collapsed="false">
      <c r="A1" s="45" t="s">
        <v>1090</v>
      </c>
      <c r="B1" s="46"/>
      <c r="C1" s="46"/>
      <c r="D1" s="46"/>
      <c r="E1" s="46"/>
      <c r="F1" s="46"/>
      <c r="G1" s="46"/>
    </row>
    <row r="2" customFormat="false" ht="15" hidden="false" customHeight="true" outlineLevel="0" collapsed="false">
      <c r="A2" s="76" t="s">
        <v>1091</v>
      </c>
      <c r="B2" s="46"/>
      <c r="C2" s="46"/>
      <c r="D2" s="46"/>
      <c r="E2" s="46"/>
      <c r="F2" s="46"/>
      <c r="G2" s="46"/>
    </row>
    <row r="3" customFormat="false" ht="15" hidden="false" customHeight="true" outlineLevel="0" collapsed="false">
      <c r="A3" s="325" t="s">
        <v>1092</v>
      </c>
      <c r="B3" s="326"/>
      <c r="C3" s="326" t="s">
        <v>1093</v>
      </c>
      <c r="D3" s="326" t="s">
        <v>1094</v>
      </c>
      <c r="E3" s="326" t="s">
        <v>1095</v>
      </c>
      <c r="F3" s="326" t="s">
        <v>1022</v>
      </c>
      <c r="G3" s="327"/>
    </row>
    <row r="4" customFormat="false" ht="15" hidden="false" customHeight="true" outlineLevel="0" collapsed="false">
      <c r="A4" s="48" t="s">
        <v>1096</v>
      </c>
      <c r="B4" s="49"/>
      <c r="C4" s="49"/>
      <c r="D4" s="49"/>
      <c r="E4" s="49"/>
      <c r="F4" s="49"/>
      <c r="G4" s="46"/>
    </row>
    <row r="5" customFormat="false" ht="15" hidden="false" customHeight="true" outlineLevel="0" collapsed="false">
      <c r="A5" s="54" t="s">
        <v>1097</v>
      </c>
      <c r="B5" s="56"/>
      <c r="C5" s="60" t="n">
        <v>340000</v>
      </c>
      <c r="D5" s="60" t="n">
        <v>420000</v>
      </c>
      <c r="E5" s="60" t="n">
        <v>380000</v>
      </c>
      <c r="F5" s="328" t="s">
        <v>892</v>
      </c>
      <c r="G5" s="47"/>
    </row>
    <row r="6" customFormat="false" ht="15" hidden="false" customHeight="true" outlineLevel="0" collapsed="false">
      <c r="A6" s="54" t="s">
        <v>1098</v>
      </c>
      <c r="B6" s="56"/>
      <c r="C6" s="60" t="n">
        <v>120000</v>
      </c>
      <c r="D6" s="60" t="n">
        <v>160000</v>
      </c>
      <c r="E6" s="60" t="n">
        <v>140000</v>
      </c>
      <c r="F6" s="328" t="s">
        <v>892</v>
      </c>
      <c r="G6" s="47"/>
    </row>
    <row r="7" customFormat="false" ht="15" hidden="false" customHeight="true" outlineLevel="0" collapsed="false">
      <c r="A7" s="54" t="s">
        <v>1099</v>
      </c>
      <c r="B7" s="56"/>
      <c r="C7" s="60" t="n">
        <v>120000</v>
      </c>
      <c r="D7" s="60" t="n">
        <v>160000</v>
      </c>
      <c r="E7" s="60" t="n">
        <v>140000</v>
      </c>
      <c r="F7" s="328" t="s">
        <v>892</v>
      </c>
      <c r="G7" s="47"/>
    </row>
    <row r="8" customFormat="false" ht="15" hidden="false" customHeight="true" outlineLevel="0" collapsed="false">
      <c r="A8" s="54" t="s">
        <v>1100</v>
      </c>
      <c r="B8" s="56"/>
      <c r="C8" s="60" t="n">
        <v>130000</v>
      </c>
      <c r="D8" s="60" t="n">
        <v>170000</v>
      </c>
      <c r="E8" s="60" t="n">
        <v>150000</v>
      </c>
      <c r="F8" s="328" t="s">
        <v>1101</v>
      </c>
      <c r="G8" s="47"/>
    </row>
    <row r="9" customFormat="false" ht="15" hidden="false" customHeight="true" outlineLevel="0" collapsed="false">
      <c r="A9" s="54" t="s">
        <v>1102</v>
      </c>
      <c r="B9" s="56"/>
      <c r="C9" s="60" t="n">
        <v>60000</v>
      </c>
      <c r="D9" s="60" t="n">
        <v>90000</v>
      </c>
      <c r="E9" s="60" t="n">
        <v>75000</v>
      </c>
      <c r="F9" s="328" t="s">
        <v>892</v>
      </c>
      <c r="G9" s="47"/>
    </row>
    <row r="10" customFormat="false" ht="15" hidden="false" customHeight="true" outlineLevel="0" collapsed="false">
      <c r="A10" s="54" t="s">
        <v>1103</v>
      </c>
      <c r="B10" s="56"/>
      <c r="C10" s="60" t="n">
        <v>70000</v>
      </c>
      <c r="D10" s="60" t="n">
        <v>100000</v>
      </c>
      <c r="E10" s="60" t="n">
        <v>85000</v>
      </c>
      <c r="F10" s="328" t="s">
        <v>892</v>
      </c>
      <c r="G10" s="47"/>
    </row>
    <row r="11" customFormat="false" ht="15" hidden="false" customHeight="true" outlineLevel="0" collapsed="false">
      <c r="A11" s="54" t="s">
        <v>1104</v>
      </c>
      <c r="B11" s="56"/>
      <c r="C11" s="60" t="n">
        <v>40000</v>
      </c>
      <c r="D11" s="60" t="n">
        <v>60000</v>
      </c>
      <c r="E11" s="60" t="n">
        <v>50000</v>
      </c>
      <c r="F11" s="328" t="s">
        <v>892</v>
      </c>
      <c r="G11" s="47"/>
    </row>
    <row r="12" customFormat="false" ht="15" hidden="false" customHeight="true" outlineLevel="0" collapsed="false">
      <c r="A12" s="54" t="s">
        <v>1105</v>
      </c>
      <c r="B12" s="56"/>
      <c r="C12" s="60" t="n">
        <v>70000</v>
      </c>
      <c r="D12" s="60" t="n">
        <v>90000</v>
      </c>
      <c r="E12" s="60" t="n">
        <v>80000</v>
      </c>
      <c r="F12" s="328" t="s">
        <v>892</v>
      </c>
      <c r="G12" s="47"/>
    </row>
    <row r="13" customFormat="false" ht="15" hidden="false" customHeight="true" outlineLevel="0" collapsed="false">
      <c r="A13" s="54" t="s">
        <v>1106</v>
      </c>
      <c r="B13" s="56"/>
      <c r="C13" s="60" t="n">
        <v>180000</v>
      </c>
      <c r="D13" s="60" t="n">
        <v>250000</v>
      </c>
      <c r="E13" s="60" t="n">
        <v>200000</v>
      </c>
      <c r="F13" s="328" t="s">
        <v>892</v>
      </c>
      <c r="G13" s="47"/>
    </row>
    <row r="14" customFormat="false" ht="15" hidden="false" customHeight="true" outlineLevel="0" collapsed="false">
      <c r="A14" s="54" t="s">
        <v>1107</v>
      </c>
      <c r="B14" s="56"/>
      <c r="C14" s="60" t="n">
        <v>4000</v>
      </c>
      <c r="D14" s="60" t="n">
        <v>8000</v>
      </c>
      <c r="E14" s="60" t="n">
        <v>5000</v>
      </c>
      <c r="F14" s="328" t="s">
        <v>844</v>
      </c>
      <c r="G14" s="47"/>
    </row>
    <row r="15" customFormat="false" ht="15" hidden="false" customHeight="true" outlineLevel="0" collapsed="false">
      <c r="A15" s="54" t="s">
        <v>1108</v>
      </c>
      <c r="B15" s="56"/>
      <c r="C15" s="60" t="n">
        <v>200000</v>
      </c>
      <c r="D15" s="60" t="n">
        <v>300000</v>
      </c>
      <c r="E15" s="60" t="n">
        <v>250000</v>
      </c>
      <c r="F15" s="328" t="s">
        <v>1101</v>
      </c>
      <c r="G15" s="47"/>
    </row>
    <row r="16" customFormat="false" ht="15" hidden="false" customHeight="true" outlineLevel="0" collapsed="false">
      <c r="A16" s="54" t="s">
        <v>1109</v>
      </c>
      <c r="B16" s="56"/>
      <c r="C16" s="60" t="n">
        <v>35000</v>
      </c>
      <c r="D16" s="60" t="n">
        <v>50000</v>
      </c>
      <c r="E16" s="60" t="n">
        <v>40000</v>
      </c>
      <c r="F16" s="328" t="s">
        <v>892</v>
      </c>
      <c r="G16" s="47"/>
    </row>
    <row r="17" customFormat="false" ht="15" hidden="false" customHeight="true" outlineLevel="0" collapsed="false">
      <c r="A17" s="54" t="s">
        <v>1110</v>
      </c>
      <c r="B17" s="56"/>
      <c r="C17" s="60" t="n">
        <v>750000</v>
      </c>
      <c r="D17" s="60" t="n">
        <v>900000</v>
      </c>
      <c r="E17" s="60" t="n">
        <v>825000</v>
      </c>
      <c r="F17" s="328" t="s">
        <v>1101</v>
      </c>
      <c r="G17" s="47"/>
    </row>
    <row r="18" customFormat="false" ht="15" hidden="false" customHeight="true" outlineLevel="0" collapsed="false">
      <c r="A18" s="54" t="s">
        <v>1111</v>
      </c>
      <c r="B18" s="56"/>
      <c r="C18" s="60" t="n">
        <v>520000</v>
      </c>
      <c r="D18" s="60" t="n">
        <v>650000</v>
      </c>
      <c r="E18" s="60" t="n">
        <v>595000</v>
      </c>
      <c r="F18" s="328" t="s">
        <v>892</v>
      </c>
      <c r="G18" s="47"/>
    </row>
    <row r="19" customFormat="false" ht="15" hidden="false" customHeight="true" outlineLevel="0" collapsed="false">
      <c r="A19" s="54" t="s">
        <v>1112</v>
      </c>
      <c r="B19" s="56"/>
      <c r="C19" s="60" t="n">
        <v>50000</v>
      </c>
      <c r="D19" s="60" t="n">
        <v>70000</v>
      </c>
      <c r="E19" s="60" t="n">
        <v>60000</v>
      </c>
      <c r="F19" s="328" t="s">
        <v>1101</v>
      </c>
      <c r="G19" s="47"/>
    </row>
    <row r="20" customFormat="false" ht="15" hidden="false" customHeight="true" outlineLevel="0" collapsed="false">
      <c r="A20" s="54" t="s">
        <v>1113</v>
      </c>
      <c r="B20" s="56"/>
      <c r="C20" s="60" t="n">
        <v>45000</v>
      </c>
      <c r="D20" s="60" t="n">
        <v>60000</v>
      </c>
      <c r="E20" s="60" t="n">
        <v>50000</v>
      </c>
      <c r="F20" s="328" t="s">
        <v>1101</v>
      </c>
      <c r="G20" s="47"/>
    </row>
    <row r="21" customFormat="false" ht="15" hidden="false" customHeight="true" outlineLevel="0" collapsed="false">
      <c r="A21" s="54" t="s">
        <v>1114</v>
      </c>
      <c r="B21" s="56"/>
      <c r="C21" s="60" t="n">
        <v>25000</v>
      </c>
      <c r="D21" s="60" t="n">
        <v>40000</v>
      </c>
      <c r="E21" s="60" t="n">
        <v>30000</v>
      </c>
      <c r="F21" s="328" t="s">
        <v>1101</v>
      </c>
      <c r="G21" s="47"/>
    </row>
    <row r="22" customFormat="false" ht="15" hidden="false" customHeight="true" outlineLevel="0" collapsed="false">
      <c r="A22" s="54" t="s">
        <v>1115</v>
      </c>
      <c r="B22" s="56"/>
      <c r="C22" s="60" t="n">
        <v>650000</v>
      </c>
      <c r="D22" s="60" t="n">
        <v>800000</v>
      </c>
      <c r="E22" s="60" t="n">
        <v>715000</v>
      </c>
      <c r="F22" s="328" t="s">
        <v>892</v>
      </c>
      <c r="G22" s="47"/>
    </row>
    <row r="23" customFormat="false" ht="15" hidden="false" customHeight="true" outlineLevel="0" collapsed="false">
      <c r="A23" s="54" t="s">
        <v>1116</v>
      </c>
      <c r="B23" s="329"/>
      <c r="C23" s="60" t="n">
        <v>2000000</v>
      </c>
      <c r="D23" s="60" t="n">
        <v>2500000</v>
      </c>
      <c r="E23" s="60" t="n">
        <v>2200000</v>
      </c>
      <c r="F23" s="56" t="s">
        <v>1101</v>
      </c>
      <c r="G23" s="46"/>
    </row>
    <row r="24" customFormat="false" ht="15" hidden="false" customHeight="true" outlineLevel="0" collapsed="false">
      <c r="A24" s="117" t="s">
        <v>1117</v>
      </c>
      <c r="B24" s="330"/>
      <c r="C24" s="102" t="n">
        <f aca="false">SUM(C5:C23)</f>
        <v>5409000</v>
      </c>
      <c r="D24" s="102" t="n">
        <f aca="false">SUM(D5:D23)</f>
        <v>6878000</v>
      </c>
      <c r="E24" s="102" t="n">
        <f aca="false">SUM(E5:E23)</f>
        <v>6070000</v>
      </c>
      <c r="F24" s="330"/>
      <c r="G24" s="46"/>
    </row>
    <row r="25" customFormat="false" ht="15" hidden="false" customHeight="true" outlineLevel="0" collapsed="false">
      <c r="A25" s="106"/>
      <c r="B25" s="46"/>
      <c r="C25" s="46"/>
      <c r="D25" s="46"/>
      <c r="E25" s="46"/>
      <c r="F25" s="46"/>
      <c r="G25" s="46"/>
    </row>
    <row r="26" customFormat="false" ht="15" hidden="false" customHeight="true" outlineLevel="0" collapsed="false">
      <c r="A26" s="48" t="s">
        <v>1118</v>
      </c>
      <c r="B26" s="331"/>
      <c r="C26" s="332"/>
      <c r="D26" s="332"/>
      <c r="E26" s="332"/>
      <c r="F26" s="333"/>
      <c r="G26" s="47"/>
    </row>
    <row r="27" customFormat="false" ht="15" hidden="false" customHeight="true" outlineLevel="0" collapsed="false">
      <c r="A27" s="54" t="s">
        <v>1119</v>
      </c>
      <c r="B27" s="56"/>
      <c r="C27" s="60" t="n">
        <v>430000</v>
      </c>
      <c r="D27" s="60" t="n">
        <v>540000</v>
      </c>
      <c r="E27" s="60" t="n">
        <v>430000</v>
      </c>
      <c r="F27" s="328" t="s">
        <v>892</v>
      </c>
      <c r="G27" s="47"/>
    </row>
    <row r="28" customFormat="false" ht="15" hidden="false" customHeight="true" outlineLevel="0" collapsed="false">
      <c r="A28" s="54" t="s">
        <v>1120</v>
      </c>
      <c r="B28" s="56"/>
      <c r="C28" s="60" t="n">
        <v>546000</v>
      </c>
      <c r="D28" s="60" t="n">
        <v>720000</v>
      </c>
      <c r="E28" s="60" t="n">
        <v>546000</v>
      </c>
      <c r="F28" s="328" t="s">
        <v>892</v>
      </c>
      <c r="G28" s="47"/>
    </row>
    <row r="29" customFormat="false" ht="15" hidden="false" customHeight="true" outlineLevel="0" collapsed="false">
      <c r="A29" s="54" t="s">
        <v>1121</v>
      </c>
      <c r="B29" s="56"/>
      <c r="C29" s="60" t="n">
        <v>380000</v>
      </c>
      <c r="D29" s="60" t="n">
        <v>500000</v>
      </c>
      <c r="E29" s="60" t="n">
        <v>380000</v>
      </c>
      <c r="F29" s="328" t="s">
        <v>892</v>
      </c>
      <c r="G29" s="47"/>
    </row>
    <row r="30" customFormat="false" ht="15" hidden="false" customHeight="true" outlineLevel="0" collapsed="false">
      <c r="A30" s="54" t="s">
        <v>1122</v>
      </c>
      <c r="B30" s="56"/>
      <c r="C30" s="60" t="n">
        <v>140000</v>
      </c>
      <c r="D30" s="60" t="n">
        <v>140000</v>
      </c>
      <c r="E30" s="60" t="n">
        <v>140000</v>
      </c>
      <c r="F30" s="328" t="s">
        <v>892</v>
      </c>
      <c r="G30" s="47"/>
    </row>
    <row r="31" customFormat="false" ht="15" hidden="false" customHeight="true" outlineLevel="0" collapsed="false">
      <c r="A31" s="54" t="s">
        <v>1123</v>
      </c>
      <c r="B31" s="56"/>
      <c r="C31" s="60" t="n">
        <v>120000</v>
      </c>
      <c r="D31" s="60" t="n">
        <v>300000</v>
      </c>
      <c r="E31" s="60" t="n">
        <v>120000</v>
      </c>
      <c r="F31" s="328" t="s">
        <v>1101</v>
      </c>
      <c r="G31" s="47"/>
    </row>
    <row r="32" customFormat="false" ht="15" hidden="false" customHeight="true" outlineLevel="0" collapsed="false">
      <c r="A32" s="54" t="s">
        <v>1124</v>
      </c>
      <c r="B32" s="56"/>
      <c r="C32" s="60" t="n">
        <v>30000</v>
      </c>
      <c r="D32" s="60" t="n">
        <v>30000</v>
      </c>
      <c r="E32" s="60" t="n">
        <v>30000</v>
      </c>
      <c r="F32" s="328" t="s">
        <v>892</v>
      </c>
      <c r="G32" s="47"/>
    </row>
    <row r="33" customFormat="false" ht="15" hidden="false" customHeight="true" outlineLevel="0" collapsed="false">
      <c r="A33" s="54" t="s">
        <v>1125</v>
      </c>
      <c r="B33" s="56"/>
      <c r="C33" s="60" t="n">
        <v>240000</v>
      </c>
      <c r="D33" s="60" t="n">
        <v>240000</v>
      </c>
      <c r="E33" s="60" t="n">
        <v>240000</v>
      </c>
      <c r="F33" s="328" t="s">
        <v>1101</v>
      </c>
      <c r="G33" s="47"/>
    </row>
    <row r="34" customFormat="false" ht="15" hidden="false" customHeight="true" outlineLevel="0" collapsed="false">
      <c r="A34" s="54" t="s">
        <v>1126</v>
      </c>
      <c r="B34" s="56"/>
      <c r="C34" s="60" t="n">
        <v>20000</v>
      </c>
      <c r="D34" s="60" t="n">
        <v>20000</v>
      </c>
      <c r="E34" s="60" t="n">
        <v>20000</v>
      </c>
      <c r="F34" s="328" t="s">
        <v>892</v>
      </c>
      <c r="G34" s="47"/>
    </row>
    <row r="35" customFormat="false" ht="15" hidden="false" customHeight="true" outlineLevel="0" collapsed="false">
      <c r="A35" s="54" t="s">
        <v>1127</v>
      </c>
      <c r="B35" s="56"/>
      <c r="C35" s="60" t="n">
        <v>286000</v>
      </c>
      <c r="D35" s="60" t="n">
        <v>286000</v>
      </c>
      <c r="E35" s="60" t="n">
        <v>286000</v>
      </c>
      <c r="F35" s="328" t="s">
        <v>892</v>
      </c>
      <c r="G35" s="47"/>
    </row>
    <row r="36" customFormat="false" ht="15" hidden="false" customHeight="true" outlineLevel="0" collapsed="false">
      <c r="A36" s="54" t="s">
        <v>1128</v>
      </c>
      <c r="B36" s="329"/>
      <c r="C36" s="60" t="n">
        <v>808000</v>
      </c>
      <c r="D36" s="60" t="n">
        <v>808000</v>
      </c>
      <c r="E36" s="60" t="n">
        <v>808000</v>
      </c>
      <c r="F36" s="56" t="s">
        <v>892</v>
      </c>
      <c r="G36" s="46"/>
    </row>
    <row r="37" customFormat="false" ht="15" hidden="false" customHeight="true" outlineLevel="0" collapsed="false">
      <c r="A37" s="117" t="s">
        <v>1129</v>
      </c>
      <c r="B37" s="330"/>
      <c r="C37" s="102" t="n">
        <f aca="false">SUM(C27:C36)</f>
        <v>3000000</v>
      </c>
      <c r="D37" s="102" t="n">
        <f aca="false">SUM(D27:D36)</f>
        <v>3584000</v>
      </c>
      <c r="E37" s="102" t="n">
        <f aca="false">SUM(E27:E36)</f>
        <v>3000000</v>
      </c>
      <c r="F37" s="330"/>
      <c r="G37" s="46"/>
    </row>
    <row r="38" customFormat="false" ht="15" hidden="false" customHeight="true" outlineLevel="0" collapsed="false">
      <c r="A38" s="106"/>
      <c r="B38" s="46"/>
      <c r="C38" s="46"/>
      <c r="D38" s="46"/>
      <c r="E38" s="46"/>
      <c r="F38" s="46"/>
      <c r="G38" s="46"/>
    </row>
    <row r="39" customFormat="false" ht="15" hidden="false" customHeight="true" outlineLevel="0" collapsed="false">
      <c r="A39" s="48" t="s">
        <v>1130</v>
      </c>
      <c r="B39" s="331"/>
      <c r="C39" s="332"/>
      <c r="D39" s="332"/>
      <c r="E39" s="332"/>
      <c r="F39" s="333"/>
      <c r="G39" s="47"/>
    </row>
    <row r="40" customFormat="false" ht="15" hidden="false" customHeight="true" outlineLevel="0" collapsed="false">
      <c r="A40" s="54" t="s">
        <v>1131</v>
      </c>
      <c r="B40" s="56"/>
      <c r="C40" s="60" t="n">
        <v>390000</v>
      </c>
      <c r="D40" s="60" t="n">
        <v>390000</v>
      </c>
      <c r="E40" s="60" t="n">
        <v>390000</v>
      </c>
      <c r="F40" s="328" t="s">
        <v>892</v>
      </c>
      <c r="G40" s="47"/>
    </row>
    <row r="41" customFormat="false" ht="15" hidden="false" customHeight="true" outlineLevel="0" collapsed="false">
      <c r="A41" s="54" t="s">
        <v>1132</v>
      </c>
      <c r="B41" s="56"/>
      <c r="C41" s="60" t="n">
        <v>180000</v>
      </c>
      <c r="D41" s="60" t="n">
        <v>180000</v>
      </c>
      <c r="E41" s="60" t="n">
        <v>180000</v>
      </c>
      <c r="F41" s="328" t="s">
        <v>892</v>
      </c>
      <c r="G41" s="47"/>
    </row>
    <row r="42" customFormat="false" ht="15" hidden="false" customHeight="true" outlineLevel="0" collapsed="false">
      <c r="A42" s="54" t="s">
        <v>1133</v>
      </c>
      <c r="B42" s="56"/>
      <c r="C42" s="60" t="n">
        <v>180000</v>
      </c>
      <c r="D42" s="60" t="n">
        <v>180000</v>
      </c>
      <c r="E42" s="60" t="n">
        <v>180000</v>
      </c>
      <c r="F42" s="328" t="s">
        <v>892</v>
      </c>
      <c r="G42" s="47"/>
    </row>
    <row r="43" customFormat="false" ht="15" hidden="false" customHeight="true" outlineLevel="0" collapsed="false">
      <c r="A43" s="54" t="s">
        <v>1134</v>
      </c>
      <c r="B43" s="56"/>
      <c r="C43" s="60" t="n">
        <v>330000</v>
      </c>
      <c r="D43" s="60" t="n">
        <v>830000</v>
      </c>
      <c r="E43" s="60" t="n">
        <v>330000</v>
      </c>
      <c r="F43" s="328" t="s">
        <v>1101</v>
      </c>
      <c r="G43" s="47"/>
    </row>
    <row r="44" customFormat="false" ht="15" hidden="false" customHeight="true" outlineLevel="0" collapsed="false">
      <c r="A44" s="54" t="s">
        <v>1135</v>
      </c>
      <c r="B44" s="56"/>
      <c r="C44" s="60" t="n">
        <v>100000</v>
      </c>
      <c r="D44" s="60" t="n">
        <v>100000</v>
      </c>
      <c r="E44" s="60" t="n">
        <v>100000</v>
      </c>
      <c r="F44" s="328" t="s">
        <v>892</v>
      </c>
      <c r="G44" s="47"/>
    </row>
    <row r="45" customFormat="false" ht="15" hidden="false" customHeight="true" outlineLevel="0" collapsed="false">
      <c r="A45" s="54" t="s">
        <v>1136</v>
      </c>
      <c r="B45" s="56"/>
      <c r="C45" s="60" t="n">
        <v>80000</v>
      </c>
      <c r="D45" s="60" t="n">
        <v>80000</v>
      </c>
      <c r="E45" s="60" t="n">
        <v>80000</v>
      </c>
      <c r="F45" s="328" t="s">
        <v>1101</v>
      </c>
      <c r="G45" s="47"/>
    </row>
    <row r="46" customFormat="false" ht="15" hidden="false" customHeight="true" outlineLevel="0" collapsed="false">
      <c r="A46" s="54" t="s">
        <v>1137</v>
      </c>
      <c r="B46" s="56"/>
      <c r="C46" s="60" t="n">
        <v>216000</v>
      </c>
      <c r="D46" s="60" t="n">
        <v>216000</v>
      </c>
      <c r="E46" s="60" t="n">
        <v>216000</v>
      </c>
      <c r="F46" s="328" t="s">
        <v>892</v>
      </c>
      <c r="G46" s="47"/>
    </row>
    <row r="47" customFormat="false" ht="15" hidden="false" customHeight="true" outlineLevel="0" collapsed="false">
      <c r="A47" s="54" t="s">
        <v>1138</v>
      </c>
      <c r="B47" s="56"/>
      <c r="C47" s="60" t="n">
        <v>40000</v>
      </c>
      <c r="D47" s="60" t="n">
        <v>40000</v>
      </c>
      <c r="E47" s="60" t="n">
        <v>40000</v>
      </c>
      <c r="F47" s="328" t="s">
        <v>892</v>
      </c>
      <c r="G47" s="47"/>
    </row>
    <row r="48" customFormat="false" ht="15" hidden="false" customHeight="true" outlineLevel="0" collapsed="false">
      <c r="A48" s="54" t="s">
        <v>1139</v>
      </c>
      <c r="B48" s="56"/>
      <c r="C48" s="60" t="n">
        <v>30000</v>
      </c>
      <c r="D48" s="60" t="n">
        <v>30000</v>
      </c>
      <c r="E48" s="60" t="n">
        <v>30000</v>
      </c>
      <c r="F48" s="328" t="s">
        <v>1101</v>
      </c>
      <c r="G48" s="47"/>
    </row>
    <row r="49" customFormat="false" ht="15" hidden="false" customHeight="true" outlineLevel="0" collapsed="false">
      <c r="A49" s="54" t="s">
        <v>1140</v>
      </c>
      <c r="B49" s="329"/>
      <c r="C49" s="60" t="n">
        <v>754000</v>
      </c>
      <c r="D49" s="60" t="n">
        <v>754000</v>
      </c>
      <c r="E49" s="60" t="n">
        <v>754000</v>
      </c>
      <c r="F49" s="56" t="s">
        <v>892</v>
      </c>
      <c r="G49" s="46"/>
    </row>
    <row r="50" customFormat="false" ht="15" hidden="false" customHeight="true" outlineLevel="0" collapsed="false">
      <c r="A50" s="117" t="s">
        <v>1141</v>
      </c>
      <c r="B50" s="330"/>
      <c r="C50" s="102" t="n">
        <f aca="false">SUM(C40:C49)</f>
        <v>2300000</v>
      </c>
      <c r="D50" s="102" t="n">
        <f aca="false">SUM(D40:D49)</f>
        <v>2800000</v>
      </c>
      <c r="E50" s="102" t="n">
        <f aca="false">SUM(E40:E49)</f>
        <v>2300000</v>
      </c>
      <c r="F50" s="330"/>
      <c r="G50" s="46"/>
    </row>
    <row r="51" customFormat="false" ht="15" hidden="false" customHeight="true" outlineLevel="0" collapsed="false">
      <c r="A51" s="106"/>
      <c r="B51" s="46"/>
      <c r="C51" s="46"/>
      <c r="D51" s="46"/>
      <c r="E51" s="46"/>
      <c r="F51" s="46"/>
      <c r="G51" s="46"/>
    </row>
    <row r="52" customFormat="false" ht="15" hidden="false" customHeight="true" outlineLevel="0" collapsed="false">
      <c r="A52" s="48" t="s">
        <v>1142</v>
      </c>
      <c r="B52" s="331"/>
      <c r="C52" s="332"/>
      <c r="D52" s="332"/>
      <c r="E52" s="332"/>
      <c r="F52" s="333"/>
      <c r="G52" s="47"/>
    </row>
    <row r="53" customFormat="false" ht="15" hidden="false" customHeight="true" outlineLevel="0" collapsed="false">
      <c r="A53" s="54" t="s">
        <v>1143</v>
      </c>
      <c r="B53" s="56"/>
      <c r="C53" s="60" t="n">
        <v>128000</v>
      </c>
      <c r="D53" s="60" t="n">
        <v>260000</v>
      </c>
      <c r="E53" s="60" t="n">
        <v>128000</v>
      </c>
      <c r="F53" s="328" t="s">
        <v>844</v>
      </c>
      <c r="G53" s="47"/>
    </row>
    <row r="54" customFormat="false" ht="15" hidden="false" customHeight="true" outlineLevel="0" collapsed="false">
      <c r="A54" s="54" t="s">
        <v>1144</v>
      </c>
      <c r="B54" s="56"/>
      <c r="C54" s="60" t="n">
        <v>7200</v>
      </c>
      <c r="D54" s="60" t="n">
        <v>7200</v>
      </c>
      <c r="E54" s="60" t="n">
        <v>7200</v>
      </c>
      <c r="F54" s="328" t="s">
        <v>844</v>
      </c>
      <c r="G54" s="47"/>
    </row>
    <row r="55" customFormat="false" ht="15" hidden="false" customHeight="true" outlineLevel="0" collapsed="false">
      <c r="A55" s="54" t="s">
        <v>1145</v>
      </c>
      <c r="B55" s="56"/>
      <c r="C55" s="60" t="n">
        <v>65000</v>
      </c>
      <c r="D55" s="60" t="n">
        <v>200000</v>
      </c>
      <c r="E55" s="60" t="n">
        <v>65000</v>
      </c>
      <c r="F55" s="328" t="s">
        <v>1101</v>
      </c>
      <c r="G55" s="47"/>
    </row>
    <row r="56" customFormat="false" ht="15" hidden="false" customHeight="true" outlineLevel="0" collapsed="false">
      <c r="A56" s="54" t="s">
        <v>1146</v>
      </c>
      <c r="B56" s="56"/>
      <c r="C56" s="60" t="n">
        <v>80000</v>
      </c>
      <c r="D56" s="60" t="n">
        <v>160000</v>
      </c>
      <c r="E56" s="60" t="n">
        <v>80000</v>
      </c>
      <c r="F56" s="328" t="s">
        <v>1101</v>
      </c>
      <c r="G56" s="47"/>
    </row>
    <row r="57" customFormat="false" ht="15" hidden="false" customHeight="true" outlineLevel="0" collapsed="false">
      <c r="A57" s="54" t="s">
        <v>1147</v>
      </c>
      <c r="B57" s="56"/>
      <c r="C57" s="60" t="n">
        <v>20000</v>
      </c>
      <c r="D57" s="60" t="n">
        <v>20000</v>
      </c>
      <c r="E57" s="60" t="n">
        <v>20000</v>
      </c>
      <c r="F57" s="328" t="s">
        <v>892</v>
      </c>
      <c r="G57" s="47"/>
    </row>
    <row r="58" customFormat="false" ht="15" hidden="false" customHeight="true" outlineLevel="0" collapsed="false">
      <c r="A58" s="54" t="s">
        <v>1148</v>
      </c>
      <c r="B58" s="56"/>
      <c r="C58" s="60" t="n">
        <v>30000</v>
      </c>
      <c r="D58" s="60" t="n">
        <v>30000</v>
      </c>
      <c r="E58" s="60" t="n">
        <v>30000</v>
      </c>
      <c r="F58" s="328" t="s">
        <v>892</v>
      </c>
      <c r="G58" s="47"/>
    </row>
    <row r="59" customFormat="false" ht="15" hidden="false" customHeight="true" outlineLevel="0" collapsed="false">
      <c r="A59" s="54" t="s">
        <v>1149</v>
      </c>
      <c r="B59" s="56"/>
      <c r="C59" s="60" t="n">
        <v>526800</v>
      </c>
      <c r="D59" s="60" t="n">
        <v>526800</v>
      </c>
      <c r="E59" s="60" t="n">
        <v>526800</v>
      </c>
      <c r="F59" s="328" t="s">
        <v>892</v>
      </c>
      <c r="G59" s="47"/>
    </row>
    <row r="60" customFormat="false" ht="15" hidden="false" customHeight="true" outlineLevel="0" collapsed="false">
      <c r="A60" s="117" t="s">
        <v>1150</v>
      </c>
      <c r="B60" s="334"/>
      <c r="C60" s="102" t="n">
        <f aca="false">SUM(C53:C59)</f>
        <v>857000</v>
      </c>
      <c r="D60" s="102" t="n">
        <f aca="false">SUM(D53:D59)</f>
        <v>1204000</v>
      </c>
      <c r="E60" s="102" t="n">
        <f aca="false">SUM(E53:E59)</f>
        <v>857000</v>
      </c>
      <c r="F60" s="335"/>
      <c r="G60" s="47"/>
    </row>
    <row r="61" customFormat="false" ht="15" hidden="false" customHeight="true" outlineLevel="0" collapsed="false">
      <c r="A61" s="23"/>
      <c r="B61" s="76"/>
      <c r="C61" s="336"/>
      <c r="D61" s="336"/>
      <c r="E61" s="336"/>
      <c r="F61" s="337"/>
      <c r="G61" s="47"/>
    </row>
    <row r="62" customFormat="false" ht="15" hidden="false" customHeight="true" outlineLevel="0" collapsed="false">
      <c r="A62" s="48" t="s">
        <v>1151</v>
      </c>
      <c r="B62" s="331"/>
      <c r="C62" s="332"/>
      <c r="D62" s="332"/>
      <c r="E62" s="332"/>
      <c r="F62" s="333"/>
      <c r="G62" s="47"/>
    </row>
    <row r="63" customFormat="false" ht="15" hidden="false" customHeight="true" outlineLevel="0" collapsed="false">
      <c r="A63" s="54" t="s">
        <v>1152</v>
      </c>
      <c r="B63" s="329"/>
      <c r="C63" s="338" t="n">
        <v>500000</v>
      </c>
      <c r="D63" s="338" t="n">
        <v>500000</v>
      </c>
      <c r="E63" s="338" t="n">
        <v>500000</v>
      </c>
      <c r="F63" s="56" t="s">
        <v>892</v>
      </c>
      <c r="G63" s="46"/>
    </row>
    <row r="64" customFormat="false" ht="15" hidden="false" customHeight="true" outlineLevel="0" collapsed="false">
      <c r="A64" s="54" t="s">
        <v>1153</v>
      </c>
      <c r="B64" s="329"/>
      <c r="C64" s="60" t="n">
        <v>160000</v>
      </c>
      <c r="D64" s="60" t="n">
        <v>400000</v>
      </c>
      <c r="E64" s="60" t="n">
        <v>160000</v>
      </c>
      <c r="F64" s="56" t="s">
        <v>1101</v>
      </c>
      <c r="G64" s="46"/>
    </row>
    <row r="65" customFormat="false" ht="15" hidden="false" customHeight="true" outlineLevel="0" collapsed="false">
      <c r="A65" s="54" t="s">
        <v>1154</v>
      </c>
      <c r="B65" s="329"/>
      <c r="C65" s="60" t="n">
        <v>53000</v>
      </c>
      <c r="D65" s="60" t="n">
        <v>53000</v>
      </c>
      <c r="E65" s="60" t="n">
        <v>53000</v>
      </c>
      <c r="F65" s="56" t="s">
        <v>892</v>
      </c>
      <c r="G65" s="46"/>
    </row>
    <row r="66" customFormat="false" ht="15" hidden="false" customHeight="true" outlineLevel="0" collapsed="false">
      <c r="A66" s="54" t="s">
        <v>1155</v>
      </c>
      <c r="B66" s="56"/>
      <c r="C66" s="60" t="n">
        <v>90000</v>
      </c>
      <c r="D66" s="60" t="n">
        <v>90000</v>
      </c>
      <c r="E66" s="60" t="n">
        <v>90000</v>
      </c>
      <c r="F66" s="328" t="s">
        <v>892</v>
      </c>
      <c r="G66" s="47"/>
    </row>
    <row r="67" customFormat="false" ht="15" hidden="false" customHeight="true" outlineLevel="0" collapsed="false">
      <c r="A67" s="54" t="s">
        <v>1156</v>
      </c>
      <c r="B67" s="56"/>
      <c r="C67" s="60" t="n">
        <v>90000</v>
      </c>
      <c r="D67" s="60" t="n">
        <v>90000</v>
      </c>
      <c r="E67" s="60" t="n">
        <v>90000</v>
      </c>
      <c r="F67" s="328" t="s">
        <v>1101</v>
      </c>
      <c r="G67" s="47"/>
    </row>
    <row r="68" customFormat="false" ht="15" hidden="false" customHeight="true" outlineLevel="0" collapsed="false">
      <c r="A68" s="54" t="s">
        <v>1157</v>
      </c>
      <c r="B68" s="56"/>
      <c r="C68" s="60" t="n">
        <v>2000000</v>
      </c>
      <c r="D68" s="60" t="n">
        <v>2000000</v>
      </c>
      <c r="E68" s="60" t="n">
        <v>2000000</v>
      </c>
      <c r="F68" s="328" t="s">
        <v>892</v>
      </c>
      <c r="G68" s="47"/>
    </row>
    <row r="69" customFormat="false" ht="15" hidden="false" customHeight="true" outlineLevel="0" collapsed="false">
      <c r="A69" s="117" t="s">
        <v>1158</v>
      </c>
      <c r="B69" s="334"/>
      <c r="C69" s="102" t="n">
        <f aca="false">SUM(C63:C68)</f>
        <v>2893000</v>
      </c>
      <c r="D69" s="102" t="n">
        <f aca="false">SUM(D63:D68)</f>
        <v>3133000</v>
      </c>
      <c r="E69" s="102" t="n">
        <f aca="false">SUM(E63:E68)</f>
        <v>2893000</v>
      </c>
      <c r="F69" s="335"/>
      <c r="G69" s="47"/>
    </row>
    <row r="70" customFormat="false" ht="15" hidden="false" customHeight="true" outlineLevel="0" collapsed="false">
      <c r="A70" s="339"/>
      <c r="B70" s="76"/>
      <c r="C70" s="336"/>
      <c r="D70" s="336"/>
      <c r="E70" s="336"/>
      <c r="F70" s="337"/>
      <c r="G70" s="47"/>
    </row>
    <row r="71" customFormat="false" ht="15" hidden="false" customHeight="true" outlineLevel="0" collapsed="false">
      <c r="A71" s="48" t="s">
        <v>1159</v>
      </c>
      <c r="B71" s="331"/>
      <c r="C71" s="332"/>
      <c r="D71" s="332"/>
      <c r="E71" s="332"/>
      <c r="F71" s="340"/>
      <c r="G71" s="47"/>
    </row>
    <row r="72" customFormat="false" ht="15" hidden="false" customHeight="true" outlineLevel="0" collapsed="false">
      <c r="A72" s="54" t="s">
        <v>1160</v>
      </c>
      <c r="B72" s="56"/>
      <c r="C72" s="60" t="n">
        <v>59000</v>
      </c>
      <c r="D72" s="60" t="n">
        <v>59000</v>
      </c>
      <c r="E72" s="60" t="n">
        <v>59000</v>
      </c>
      <c r="F72" s="328" t="s">
        <v>892</v>
      </c>
      <c r="G72" s="47"/>
    </row>
    <row r="73" customFormat="false" ht="15" hidden="false" customHeight="true" outlineLevel="0" collapsed="false">
      <c r="A73" s="54" t="s">
        <v>1161</v>
      </c>
      <c r="B73" s="56"/>
      <c r="C73" s="60" t="n">
        <v>22500</v>
      </c>
      <c r="D73" s="60" t="n">
        <v>22500</v>
      </c>
      <c r="E73" s="60" t="n">
        <v>22500</v>
      </c>
      <c r="F73" s="328" t="s">
        <v>892</v>
      </c>
      <c r="G73" s="47"/>
    </row>
    <row r="74" customFormat="false" ht="15" hidden="false" customHeight="true" outlineLevel="0" collapsed="false">
      <c r="A74" s="54" t="s">
        <v>1162</v>
      </c>
      <c r="B74" s="56"/>
      <c r="C74" s="60" t="n">
        <v>0</v>
      </c>
      <c r="D74" s="60" t="n">
        <v>0</v>
      </c>
      <c r="E74" s="60" t="n">
        <v>0</v>
      </c>
      <c r="F74" s="328" t="s">
        <v>844</v>
      </c>
      <c r="G74" s="47"/>
    </row>
    <row r="75" customFormat="false" ht="15" hidden="false" customHeight="true" outlineLevel="0" collapsed="false">
      <c r="A75" s="54" t="s">
        <v>1163</v>
      </c>
      <c r="B75" s="56"/>
      <c r="C75" s="60" t="n">
        <v>0</v>
      </c>
      <c r="D75" s="60" t="n">
        <v>0</v>
      </c>
      <c r="E75" s="60" t="n">
        <v>0</v>
      </c>
      <c r="F75" s="328" t="s">
        <v>844</v>
      </c>
      <c r="G75" s="47"/>
    </row>
    <row r="76" customFormat="false" ht="15" hidden="false" customHeight="true" outlineLevel="0" collapsed="false">
      <c r="A76" s="54" t="s">
        <v>1164</v>
      </c>
      <c r="B76" s="56"/>
      <c r="C76" s="60" t="n">
        <v>8000</v>
      </c>
      <c r="D76" s="60" t="n">
        <v>8000</v>
      </c>
      <c r="E76" s="60" t="n">
        <v>8000</v>
      </c>
      <c r="F76" s="328" t="s">
        <v>892</v>
      </c>
      <c r="G76" s="47"/>
    </row>
    <row r="77" customFormat="false" ht="15" hidden="false" customHeight="true" outlineLevel="0" collapsed="false">
      <c r="A77" s="54" t="s">
        <v>1165</v>
      </c>
      <c r="B77" s="329"/>
      <c r="C77" s="60" t="n">
        <v>0</v>
      </c>
      <c r="D77" s="60" t="n">
        <v>0</v>
      </c>
      <c r="E77" s="60" t="n">
        <v>0</v>
      </c>
      <c r="F77" s="56" t="s">
        <v>844</v>
      </c>
      <c r="G77" s="46"/>
    </row>
    <row r="78" customFormat="false" ht="15" hidden="false" customHeight="true" outlineLevel="0" collapsed="false">
      <c r="A78" s="54" t="s">
        <v>1166</v>
      </c>
      <c r="B78" s="329"/>
      <c r="C78" s="60" t="n">
        <v>0</v>
      </c>
      <c r="D78" s="60" t="n">
        <v>0</v>
      </c>
      <c r="E78" s="60" t="n">
        <v>0</v>
      </c>
      <c r="F78" s="56" t="s">
        <v>892</v>
      </c>
      <c r="G78" s="46"/>
    </row>
    <row r="79" customFormat="false" ht="15" hidden="false" customHeight="true" outlineLevel="0" collapsed="false">
      <c r="A79" s="54" t="s">
        <v>1167</v>
      </c>
      <c r="B79" s="329"/>
      <c r="C79" s="60" t="n">
        <v>15000</v>
      </c>
      <c r="D79" s="60" t="n">
        <v>15000</v>
      </c>
      <c r="E79" s="60" t="n">
        <v>15000</v>
      </c>
      <c r="F79" s="56" t="s">
        <v>1101</v>
      </c>
      <c r="G79" s="46"/>
    </row>
    <row r="80" customFormat="false" ht="15" hidden="false" customHeight="true" outlineLevel="0" collapsed="false">
      <c r="A80" s="54" t="s">
        <v>1168</v>
      </c>
      <c r="B80" s="56"/>
      <c r="C80" s="60" t="n">
        <v>45000</v>
      </c>
      <c r="D80" s="60" t="n">
        <v>45000</v>
      </c>
      <c r="E80" s="60" t="n">
        <v>45000</v>
      </c>
      <c r="F80" s="328" t="s">
        <v>1101</v>
      </c>
      <c r="G80" s="47"/>
    </row>
    <row r="81" customFormat="false" ht="15" hidden="false" customHeight="true" outlineLevel="0" collapsed="false">
      <c r="A81" s="54" t="s">
        <v>1169</v>
      </c>
      <c r="B81" s="56"/>
      <c r="C81" s="60" t="n">
        <v>0</v>
      </c>
      <c r="D81" s="60" t="n">
        <v>0</v>
      </c>
      <c r="E81" s="60" t="n">
        <v>0</v>
      </c>
      <c r="F81" s="328" t="s">
        <v>1101</v>
      </c>
      <c r="G81" s="47"/>
    </row>
    <row r="82" customFormat="false" ht="15" hidden="false" customHeight="true" outlineLevel="0" collapsed="false">
      <c r="A82" s="54" t="s">
        <v>1170</v>
      </c>
      <c r="B82" s="56"/>
      <c r="C82" s="60" t="n">
        <v>430000</v>
      </c>
      <c r="D82" s="60" t="n">
        <v>900000</v>
      </c>
      <c r="E82" s="60" t="n">
        <v>650000</v>
      </c>
      <c r="F82" s="328" t="s">
        <v>1101</v>
      </c>
      <c r="G82" s="47"/>
    </row>
    <row r="83" customFormat="false" ht="15" hidden="false" customHeight="true" outlineLevel="0" collapsed="false">
      <c r="A83" s="117" t="s">
        <v>1171</v>
      </c>
      <c r="B83" s="334"/>
      <c r="C83" s="102" t="n">
        <f aca="false">SUM(C72:C82)</f>
        <v>579500</v>
      </c>
      <c r="D83" s="102" t="n">
        <f aca="false">SUM(D72:D82)</f>
        <v>1049500</v>
      </c>
      <c r="E83" s="102" t="n">
        <f aca="false">SUM(E72:E82)</f>
        <v>799500</v>
      </c>
      <c r="F83" s="335"/>
      <c r="G83" s="47"/>
    </row>
    <row r="84" customFormat="false" ht="15" hidden="false" customHeight="true" outlineLevel="0" collapsed="false">
      <c r="A84" s="339"/>
      <c r="B84" s="76"/>
      <c r="C84" s="336"/>
      <c r="D84" s="336"/>
      <c r="E84" s="336"/>
      <c r="F84" s="337"/>
      <c r="G84" s="47"/>
    </row>
    <row r="85" customFormat="false" ht="15" hidden="false" customHeight="true" outlineLevel="0" collapsed="false">
      <c r="A85" s="48" t="s">
        <v>1172</v>
      </c>
      <c r="B85" s="331"/>
      <c r="C85" s="332"/>
      <c r="D85" s="332"/>
      <c r="E85" s="332"/>
      <c r="F85" s="340"/>
      <c r="G85" s="47"/>
    </row>
    <row r="86" customFormat="false" ht="15" hidden="false" customHeight="true" outlineLevel="0" collapsed="false">
      <c r="A86" s="54" t="s">
        <v>1173</v>
      </c>
      <c r="B86" s="329"/>
      <c r="C86" s="60" t="n">
        <v>700000</v>
      </c>
      <c r="D86" s="60" t="n">
        <v>1300000</v>
      </c>
      <c r="E86" s="60" t="n">
        <v>1000000</v>
      </c>
      <c r="F86" s="56" t="s">
        <v>1101</v>
      </c>
      <c r="G86" s="46"/>
    </row>
    <row r="87" customFormat="false" ht="15" hidden="false" customHeight="true" outlineLevel="0" collapsed="false">
      <c r="A87" s="54" t="s">
        <v>1174</v>
      </c>
      <c r="B87" s="329"/>
      <c r="C87" s="60" t="n">
        <v>400000</v>
      </c>
      <c r="D87" s="60" t="n">
        <v>700000</v>
      </c>
      <c r="E87" s="60" t="n">
        <v>500000</v>
      </c>
      <c r="F87" s="56" t="s">
        <v>892</v>
      </c>
      <c r="G87" s="46"/>
    </row>
    <row r="88" customFormat="false" ht="15" hidden="false" customHeight="true" outlineLevel="0" collapsed="false">
      <c r="A88" s="54" t="s">
        <v>1175</v>
      </c>
      <c r="B88" s="56"/>
      <c r="C88" s="338" t="n">
        <v>1500000</v>
      </c>
      <c r="D88" s="338" t="n">
        <v>1500000</v>
      </c>
      <c r="E88" s="338" t="n">
        <v>1500000</v>
      </c>
      <c r="F88" s="56" t="s">
        <v>113</v>
      </c>
      <c r="G88" s="46"/>
    </row>
    <row r="89" customFormat="false" ht="15" hidden="false" customHeight="true" outlineLevel="0" collapsed="false">
      <c r="A89" s="117" t="s">
        <v>1176</v>
      </c>
      <c r="B89" s="330"/>
      <c r="C89" s="102" t="n">
        <f aca="false">SUM(C86:C88)</f>
        <v>2600000</v>
      </c>
      <c r="D89" s="102" t="n">
        <f aca="false">SUM(D86:D88)</f>
        <v>3500000</v>
      </c>
      <c r="E89" s="102" t="n">
        <f aca="false">SUM(E86:E88)</f>
        <v>3000000</v>
      </c>
      <c r="F89" s="330"/>
      <c r="G89" s="46"/>
    </row>
    <row r="90" customFormat="false" ht="15" hidden="false" customHeight="true" outlineLevel="0" collapsed="false">
      <c r="A90" s="339"/>
      <c r="B90" s="46"/>
      <c r="C90" s="46"/>
      <c r="D90" s="46"/>
      <c r="E90" s="46"/>
      <c r="F90" s="46"/>
      <c r="G90" s="46"/>
    </row>
    <row r="91" customFormat="false" ht="15" hidden="false" customHeight="true" outlineLevel="0" collapsed="false">
      <c r="A91" s="48" t="s">
        <v>1177</v>
      </c>
      <c r="B91" s="49"/>
      <c r="C91" s="332"/>
      <c r="D91" s="332"/>
      <c r="E91" s="332"/>
      <c r="F91" s="331"/>
      <c r="G91" s="46"/>
    </row>
    <row r="92" customFormat="false" ht="15" hidden="false" customHeight="true" outlineLevel="0" collapsed="false">
      <c r="A92" s="54" t="s">
        <v>1177</v>
      </c>
      <c r="B92" s="329"/>
      <c r="C92" s="60" t="n">
        <v>300000</v>
      </c>
      <c r="D92" s="60" t="n">
        <v>500000</v>
      </c>
      <c r="E92" s="60" t="n">
        <v>400000</v>
      </c>
      <c r="F92" s="56" t="s">
        <v>1101</v>
      </c>
      <c r="G92" s="46"/>
    </row>
    <row r="93" customFormat="false" ht="15" hidden="false" customHeight="true" outlineLevel="0" collapsed="false">
      <c r="A93" s="117" t="s">
        <v>1178</v>
      </c>
      <c r="B93" s="330"/>
      <c r="C93" s="102" t="n">
        <f aca="false">SUM(C92)</f>
        <v>300000</v>
      </c>
      <c r="D93" s="102" t="n">
        <f aca="false">SUM(D92)</f>
        <v>500000</v>
      </c>
      <c r="E93" s="102" t="n">
        <f aca="false">SUM(E92)</f>
        <v>400000</v>
      </c>
      <c r="F93" s="330"/>
      <c r="G93" s="46"/>
    </row>
    <row r="94" customFormat="false" ht="15" hidden="false" customHeight="true" outlineLevel="0" collapsed="false">
      <c r="A94" s="341"/>
      <c r="B94" s="76"/>
      <c r="C94" s="342"/>
      <c r="D94" s="342"/>
      <c r="E94" s="342"/>
      <c r="F94" s="23"/>
      <c r="G94" s="46"/>
    </row>
    <row r="95" customFormat="false" ht="15" hidden="false" customHeight="true" outlineLevel="0" collapsed="false">
      <c r="A95" s="343" t="s">
        <v>1179</v>
      </c>
      <c r="B95" s="331"/>
      <c r="C95" s="344" t="n">
        <f aca="false">C24+C37+C50+C60+C69+C83+C89+C93</f>
        <v>17938500</v>
      </c>
      <c r="D95" s="344" t="n">
        <f aca="false">D24+D37+D50+D60+D69+D83+D89+D93</f>
        <v>22648500</v>
      </c>
      <c r="E95" s="344" t="n">
        <f aca="false">E24+E37+E50+E60+E69+E83+E89+E93</f>
        <v>19319500</v>
      </c>
      <c r="F95" s="345"/>
      <c r="G95" s="46"/>
    </row>
    <row r="96" customFormat="false" ht="15" hidden="false" customHeight="true" outlineLevel="0" collapsed="false">
      <c r="A96" s="76"/>
      <c r="B96" s="76"/>
      <c r="C96" s="336"/>
      <c r="D96" s="336"/>
      <c r="E96" s="336"/>
      <c r="F96" s="23"/>
      <c r="G96" s="46"/>
    </row>
    <row r="97" customFormat="false" ht="15" hidden="false" customHeight="true" outlineLevel="0" collapsed="false">
      <c r="A97" s="76" t="s">
        <v>1180</v>
      </c>
      <c r="B97" s="76"/>
      <c r="C97" s="336"/>
      <c r="D97" s="336"/>
      <c r="E97" s="336"/>
      <c r="F97" s="23"/>
      <c r="G97" s="46"/>
    </row>
    <row r="98" customFormat="false" ht="15" hidden="false" customHeight="true" outlineLevel="0" collapsed="false">
      <c r="A98" s="346"/>
      <c r="B98" s="76"/>
      <c r="C98" s="336"/>
      <c r="D98" s="336"/>
      <c r="E98" s="336"/>
      <c r="F98" s="23"/>
      <c r="G98" s="46"/>
    </row>
    <row r="99" customFormat="false" ht="15" hidden="false" customHeight="true" outlineLevel="0" collapsed="false">
      <c r="A99" s="346" t="s">
        <v>1181</v>
      </c>
      <c r="B99" s="76"/>
      <c r="C99" s="336"/>
      <c r="D99" s="336"/>
      <c r="E99" s="336"/>
      <c r="F99" s="23"/>
      <c r="G99" s="46"/>
    </row>
    <row r="100" customFormat="false" ht="15" hidden="false" customHeight="true" outlineLevel="0" collapsed="false">
      <c r="A100" s="48" t="s">
        <v>1182</v>
      </c>
      <c r="B100" s="331"/>
      <c r="C100" s="332"/>
      <c r="D100" s="332"/>
      <c r="E100" s="332"/>
      <c r="F100" s="331"/>
      <c r="G100" s="46"/>
    </row>
    <row r="101" customFormat="false" ht="15" hidden="false" customHeight="true" outlineLevel="0" collapsed="false">
      <c r="A101" s="54" t="s">
        <v>1183</v>
      </c>
      <c r="B101" s="56"/>
      <c r="C101" s="60" t="n">
        <v>45000</v>
      </c>
      <c r="D101" s="60" t="n">
        <v>70000</v>
      </c>
      <c r="E101" s="60" t="n">
        <v>57500</v>
      </c>
      <c r="F101" s="56" t="s">
        <v>892</v>
      </c>
      <c r="G101" s="46"/>
    </row>
    <row r="102" customFormat="false" ht="15" hidden="false" customHeight="true" outlineLevel="0" collapsed="false">
      <c r="A102" s="54" t="s">
        <v>1184</v>
      </c>
      <c r="B102" s="56"/>
      <c r="C102" s="60" t="n">
        <v>40000</v>
      </c>
      <c r="D102" s="60" t="n">
        <v>60000</v>
      </c>
      <c r="E102" s="60" t="n">
        <v>50000</v>
      </c>
      <c r="F102" s="56" t="s">
        <v>892</v>
      </c>
      <c r="G102" s="46"/>
    </row>
    <row r="103" customFormat="false" ht="15" hidden="false" customHeight="true" outlineLevel="0" collapsed="false">
      <c r="A103" s="54" t="s">
        <v>1185</v>
      </c>
      <c r="B103" s="56"/>
      <c r="C103" s="60" t="n">
        <v>60000</v>
      </c>
      <c r="D103" s="60" t="n">
        <v>90000</v>
      </c>
      <c r="E103" s="60" t="n">
        <v>75000</v>
      </c>
      <c r="F103" s="56" t="s">
        <v>892</v>
      </c>
      <c r="G103" s="46"/>
    </row>
    <row r="104" customFormat="false" ht="15" hidden="false" customHeight="true" outlineLevel="0" collapsed="false">
      <c r="A104" s="54" t="s">
        <v>1186</v>
      </c>
      <c r="B104" s="56"/>
      <c r="C104" s="60" t="n">
        <v>35000</v>
      </c>
      <c r="D104" s="60" t="n">
        <v>60000</v>
      </c>
      <c r="E104" s="60" t="n">
        <v>47500</v>
      </c>
      <c r="F104" s="56" t="s">
        <v>892</v>
      </c>
      <c r="G104" s="46"/>
    </row>
    <row r="105" customFormat="false" ht="15" hidden="false" customHeight="true" outlineLevel="0" collapsed="false">
      <c r="A105" s="54" t="s">
        <v>1187</v>
      </c>
      <c r="B105" s="56"/>
      <c r="C105" s="60" t="n">
        <v>30000</v>
      </c>
      <c r="D105" s="60" t="n">
        <v>50000</v>
      </c>
      <c r="E105" s="60" t="n">
        <v>40000</v>
      </c>
      <c r="F105" s="56" t="s">
        <v>892</v>
      </c>
      <c r="G105" s="46"/>
    </row>
    <row r="106" customFormat="false" ht="15" hidden="false" customHeight="true" outlineLevel="0" collapsed="false">
      <c r="A106" s="54" t="s">
        <v>1188</v>
      </c>
      <c r="B106" s="56"/>
      <c r="C106" s="60" t="n">
        <v>40000</v>
      </c>
      <c r="D106" s="60" t="n">
        <v>60000</v>
      </c>
      <c r="E106" s="60" t="n">
        <v>50000</v>
      </c>
      <c r="F106" s="56" t="s">
        <v>892</v>
      </c>
      <c r="G106" s="46"/>
    </row>
    <row r="107" customFormat="false" ht="15" hidden="false" customHeight="true" outlineLevel="0" collapsed="false">
      <c r="A107" s="54" t="s">
        <v>1189</v>
      </c>
      <c r="B107" s="56"/>
      <c r="C107" s="60" t="n">
        <v>20000</v>
      </c>
      <c r="D107" s="60" t="n">
        <v>35000</v>
      </c>
      <c r="E107" s="60" t="n">
        <v>27500</v>
      </c>
      <c r="F107" s="56" t="s">
        <v>892</v>
      </c>
      <c r="G107" s="46"/>
    </row>
    <row r="108" customFormat="false" ht="15" hidden="false" customHeight="true" outlineLevel="0" collapsed="false">
      <c r="A108" s="54" t="s">
        <v>1190</v>
      </c>
      <c r="B108" s="56"/>
      <c r="C108" s="60" t="n">
        <v>3000</v>
      </c>
      <c r="D108" s="60" t="n">
        <v>8000</v>
      </c>
      <c r="E108" s="60" t="n">
        <v>5500</v>
      </c>
      <c r="F108" s="56" t="s">
        <v>844</v>
      </c>
      <c r="G108" s="46"/>
    </row>
    <row r="109" customFormat="false" ht="15" hidden="false" customHeight="true" outlineLevel="0" collapsed="false">
      <c r="A109" s="54" t="s">
        <v>1191</v>
      </c>
      <c r="B109" s="56"/>
      <c r="C109" s="60" t="n">
        <v>15000</v>
      </c>
      <c r="D109" s="60" t="n">
        <v>30000</v>
      </c>
      <c r="E109" s="60" t="n">
        <v>22500</v>
      </c>
      <c r="F109" s="56" t="s">
        <v>1101</v>
      </c>
      <c r="G109" s="46"/>
    </row>
    <row r="110" customFormat="false" ht="15" hidden="false" customHeight="true" outlineLevel="0" collapsed="false">
      <c r="A110" s="117" t="s">
        <v>1192</v>
      </c>
      <c r="B110" s="334"/>
      <c r="C110" s="102" t="n">
        <f aca="false">SUM(C101:C109)</f>
        <v>288000</v>
      </c>
      <c r="D110" s="102" t="n">
        <f aca="false">SUM(D101:D109)</f>
        <v>463000</v>
      </c>
      <c r="E110" s="102" t="n">
        <f aca="false">SUM(E101:E109)</f>
        <v>375500</v>
      </c>
      <c r="F110" s="347"/>
      <c r="G110" s="46"/>
    </row>
    <row r="111" customFormat="false" ht="15" hidden="false" customHeight="true" outlineLevel="0" collapsed="false">
      <c r="A111" s="48" t="s">
        <v>1193</v>
      </c>
      <c r="B111" s="331"/>
      <c r="C111" s="332"/>
      <c r="D111" s="332"/>
      <c r="E111" s="332"/>
      <c r="F111" s="331"/>
      <c r="G111" s="46"/>
    </row>
    <row r="112" customFormat="false" ht="15" hidden="false" customHeight="true" outlineLevel="0" collapsed="false">
      <c r="A112" s="54" t="s">
        <v>1194</v>
      </c>
      <c r="B112" s="56"/>
      <c r="C112" s="60" t="n">
        <v>480000</v>
      </c>
      <c r="D112" s="60" t="n">
        <v>560000</v>
      </c>
      <c r="E112" s="60" t="n">
        <v>520000</v>
      </c>
      <c r="F112" s="56" t="s">
        <v>892</v>
      </c>
      <c r="G112" s="46"/>
    </row>
    <row r="113" customFormat="false" ht="15" hidden="false" customHeight="true" outlineLevel="0" collapsed="false">
      <c r="A113" s="54" t="s">
        <v>1195</v>
      </c>
      <c r="B113" s="56"/>
      <c r="C113" s="60" t="n">
        <v>90000</v>
      </c>
      <c r="D113" s="60" t="n">
        <v>120000</v>
      </c>
      <c r="E113" s="60" t="n">
        <v>105000</v>
      </c>
      <c r="F113" s="56" t="s">
        <v>892</v>
      </c>
      <c r="G113" s="46"/>
    </row>
    <row r="114" customFormat="false" ht="15" hidden="false" customHeight="true" outlineLevel="0" collapsed="false">
      <c r="A114" s="54" t="s">
        <v>1196</v>
      </c>
      <c r="B114" s="56"/>
      <c r="C114" s="60" t="n">
        <v>50000</v>
      </c>
      <c r="D114" s="60" t="n">
        <v>60000</v>
      </c>
      <c r="E114" s="60" t="n">
        <v>55000</v>
      </c>
      <c r="F114" s="56" t="s">
        <v>892</v>
      </c>
      <c r="G114" s="46"/>
    </row>
    <row r="115" customFormat="false" ht="15" hidden="false" customHeight="true" outlineLevel="0" collapsed="false">
      <c r="A115" s="54" t="s">
        <v>1197</v>
      </c>
      <c r="B115" s="56"/>
      <c r="C115" s="60" t="n">
        <v>12000</v>
      </c>
      <c r="D115" s="60" t="n">
        <v>12000</v>
      </c>
      <c r="E115" s="60" t="n">
        <v>12000</v>
      </c>
      <c r="F115" s="56" t="s">
        <v>892</v>
      </c>
      <c r="G115" s="46"/>
    </row>
    <row r="116" customFormat="false" ht="15" hidden="false" customHeight="true" outlineLevel="0" collapsed="false">
      <c r="A116" s="54" t="s">
        <v>1198</v>
      </c>
      <c r="B116" s="56"/>
      <c r="C116" s="60" t="n">
        <v>8000</v>
      </c>
      <c r="D116" s="60" t="n">
        <v>8000</v>
      </c>
      <c r="E116" s="60" t="n">
        <v>8000</v>
      </c>
      <c r="F116" s="56" t="s">
        <v>892</v>
      </c>
      <c r="G116" s="46"/>
    </row>
    <row r="117" customFormat="false" ht="15" hidden="false" customHeight="true" outlineLevel="0" collapsed="false">
      <c r="A117" s="117" t="s">
        <v>1199</v>
      </c>
      <c r="B117" s="334"/>
      <c r="C117" s="102" t="n">
        <f aca="false">SUM(C112:C116)</f>
        <v>640000</v>
      </c>
      <c r="D117" s="102" t="n">
        <f aca="false">SUM(D112:D116)</f>
        <v>760000</v>
      </c>
      <c r="E117" s="102" t="n">
        <f aca="false">SUM(E112:E116)</f>
        <v>700000</v>
      </c>
      <c r="F117" s="347"/>
      <c r="G117" s="46"/>
    </row>
    <row r="118" customFormat="false" ht="15" hidden="false" customHeight="true" outlineLevel="0" collapsed="false">
      <c r="A118" s="48" t="s">
        <v>1200</v>
      </c>
      <c r="B118" s="331"/>
      <c r="C118" s="332"/>
      <c r="D118" s="332"/>
      <c r="E118" s="332"/>
      <c r="F118" s="331"/>
      <c r="G118" s="46"/>
    </row>
    <row r="119" customFormat="false" ht="15" hidden="false" customHeight="true" outlineLevel="0" collapsed="false">
      <c r="A119" s="54" t="s">
        <v>1201</v>
      </c>
      <c r="B119" s="56"/>
      <c r="C119" s="60" t="n">
        <v>240000</v>
      </c>
      <c r="D119" s="60" t="n">
        <v>280000</v>
      </c>
      <c r="E119" s="60" t="n">
        <v>260000</v>
      </c>
      <c r="F119" s="56" t="s">
        <v>892</v>
      </c>
      <c r="G119" s="46"/>
    </row>
    <row r="120" customFormat="false" ht="15" hidden="false" customHeight="true" outlineLevel="0" collapsed="false">
      <c r="A120" s="54" t="s">
        <v>1202</v>
      </c>
      <c r="B120" s="56"/>
      <c r="C120" s="60" t="n">
        <v>30000</v>
      </c>
      <c r="D120" s="60" t="n">
        <v>45000</v>
      </c>
      <c r="E120" s="60" t="n">
        <v>37500</v>
      </c>
      <c r="F120" s="56" t="s">
        <v>892</v>
      </c>
      <c r="G120" s="46"/>
    </row>
    <row r="121" customFormat="false" ht="15" hidden="false" customHeight="true" outlineLevel="0" collapsed="false">
      <c r="A121" s="54" t="s">
        <v>1203</v>
      </c>
      <c r="B121" s="56"/>
      <c r="C121" s="60" t="n">
        <v>60000</v>
      </c>
      <c r="D121" s="60" t="n">
        <v>90000</v>
      </c>
      <c r="E121" s="60" t="n">
        <v>75000</v>
      </c>
      <c r="F121" s="56" t="s">
        <v>892</v>
      </c>
      <c r="G121" s="46"/>
    </row>
    <row r="122" customFormat="false" ht="15" hidden="false" customHeight="true" outlineLevel="0" collapsed="false">
      <c r="A122" s="54" t="s">
        <v>1204</v>
      </c>
      <c r="B122" s="56"/>
      <c r="C122" s="60" t="n">
        <v>40000</v>
      </c>
      <c r="D122" s="60" t="n">
        <v>55000</v>
      </c>
      <c r="E122" s="60" t="n">
        <v>47500</v>
      </c>
      <c r="F122" s="56" t="s">
        <v>892</v>
      </c>
      <c r="G122" s="46"/>
    </row>
    <row r="123" customFormat="false" ht="15" hidden="false" customHeight="true" outlineLevel="0" collapsed="false">
      <c r="A123" s="117" t="s">
        <v>1205</v>
      </c>
      <c r="B123" s="334"/>
      <c r="C123" s="102" t="n">
        <f aca="false">SUM(C119:C122)</f>
        <v>370000</v>
      </c>
      <c r="D123" s="102" t="n">
        <f aca="false">SUM(D119:D122)</f>
        <v>470000</v>
      </c>
      <c r="E123" s="102" t="n">
        <f aca="false">SUM(E119:E122)</f>
        <v>420000</v>
      </c>
      <c r="F123" s="347"/>
      <c r="G123" s="46"/>
    </row>
    <row r="124" customFormat="false" ht="15" hidden="false" customHeight="true" outlineLevel="0" collapsed="false">
      <c r="A124" s="48" t="s">
        <v>1206</v>
      </c>
      <c r="B124" s="331"/>
      <c r="C124" s="332"/>
      <c r="D124" s="332"/>
      <c r="E124" s="332"/>
      <c r="F124" s="331"/>
      <c r="G124" s="46"/>
    </row>
    <row r="125" customFormat="false" ht="15" hidden="false" customHeight="true" outlineLevel="0" collapsed="false">
      <c r="A125" s="54" t="s">
        <v>1207</v>
      </c>
      <c r="B125" s="56"/>
      <c r="C125" s="60" t="n">
        <v>20000</v>
      </c>
      <c r="D125" s="60" t="n">
        <v>30000</v>
      </c>
      <c r="E125" s="60" t="n">
        <v>25000</v>
      </c>
      <c r="F125" s="56" t="s">
        <v>892</v>
      </c>
      <c r="G125" s="46"/>
    </row>
    <row r="126" customFormat="false" ht="15" hidden="false" customHeight="true" outlineLevel="0" collapsed="false">
      <c r="A126" s="54" t="s">
        <v>1208</v>
      </c>
      <c r="B126" s="56"/>
      <c r="C126" s="60" t="n">
        <v>30000</v>
      </c>
      <c r="D126" s="60" t="n">
        <v>45000</v>
      </c>
      <c r="E126" s="60" t="n">
        <v>37500</v>
      </c>
      <c r="F126" s="56" t="s">
        <v>892</v>
      </c>
      <c r="G126" s="46"/>
    </row>
    <row r="127" customFormat="false" ht="15" hidden="false" customHeight="true" outlineLevel="0" collapsed="false">
      <c r="A127" s="54" t="s">
        <v>1209</v>
      </c>
      <c r="B127" s="56"/>
      <c r="C127" s="60" t="n">
        <v>8000</v>
      </c>
      <c r="D127" s="60" t="n">
        <v>12000</v>
      </c>
      <c r="E127" s="60" t="n">
        <v>10000</v>
      </c>
      <c r="F127" s="56" t="s">
        <v>1101</v>
      </c>
      <c r="G127" s="46"/>
    </row>
    <row r="128" customFormat="false" ht="15" hidden="false" customHeight="true" outlineLevel="0" collapsed="false">
      <c r="A128" s="117" t="s">
        <v>1210</v>
      </c>
      <c r="B128" s="334"/>
      <c r="C128" s="102" t="n">
        <f aca="false">SUM(C125:C127)</f>
        <v>58000</v>
      </c>
      <c r="D128" s="102" t="n">
        <f aca="false">SUM(D125:D127)</f>
        <v>87000</v>
      </c>
      <c r="E128" s="102" t="n">
        <f aca="false">SUM(E125:E127)</f>
        <v>72500</v>
      </c>
      <c r="F128" s="347"/>
      <c r="G128" s="46"/>
    </row>
    <row r="129" customFormat="false" ht="15" hidden="false" customHeight="true" outlineLevel="0" collapsed="false">
      <c r="A129" s="48" t="s">
        <v>1211</v>
      </c>
      <c r="B129" s="331"/>
      <c r="C129" s="332"/>
      <c r="D129" s="332"/>
      <c r="E129" s="332"/>
      <c r="F129" s="331"/>
      <c r="G129" s="46"/>
    </row>
    <row r="130" customFormat="false" ht="15" hidden="false" customHeight="true" outlineLevel="0" collapsed="false">
      <c r="A130" s="54" t="s">
        <v>1212</v>
      </c>
      <c r="B130" s="56"/>
      <c r="C130" s="60" t="n">
        <v>18000</v>
      </c>
      <c r="D130" s="60" t="n">
        <v>30000</v>
      </c>
      <c r="E130" s="60" t="n">
        <v>24000</v>
      </c>
      <c r="F130" s="56" t="s">
        <v>892</v>
      </c>
      <c r="G130" s="46"/>
    </row>
    <row r="131" customFormat="false" ht="15" hidden="false" customHeight="true" outlineLevel="0" collapsed="false">
      <c r="A131" s="54" t="s">
        <v>1213</v>
      </c>
      <c r="B131" s="56"/>
      <c r="C131" s="60" t="n">
        <v>12000</v>
      </c>
      <c r="D131" s="60" t="n">
        <v>18000</v>
      </c>
      <c r="E131" s="60" t="n">
        <v>15000</v>
      </c>
      <c r="F131" s="56" t="s">
        <v>1101</v>
      </c>
      <c r="G131" s="46"/>
    </row>
    <row r="132" customFormat="false" ht="15" hidden="false" customHeight="true" outlineLevel="0" collapsed="false">
      <c r="A132" s="117" t="s">
        <v>1214</v>
      </c>
      <c r="B132" s="334"/>
      <c r="C132" s="102" t="n">
        <f aca="false">SUM(C130:C131)</f>
        <v>30000</v>
      </c>
      <c r="D132" s="102" t="n">
        <f aca="false">SUM(D130:D131)</f>
        <v>48000</v>
      </c>
      <c r="E132" s="102" t="n">
        <f aca="false">SUM(E130:E131)</f>
        <v>39000</v>
      </c>
      <c r="F132" s="347"/>
      <c r="G132" s="46"/>
    </row>
    <row r="133" customFormat="false" ht="15" hidden="false" customHeight="true" outlineLevel="0" collapsed="false">
      <c r="A133" s="48" t="s">
        <v>1215</v>
      </c>
      <c r="B133" s="331"/>
      <c r="C133" s="332"/>
      <c r="D133" s="332"/>
      <c r="E133" s="332"/>
      <c r="F133" s="331"/>
      <c r="G133" s="46"/>
    </row>
    <row r="134" customFormat="false" ht="15" hidden="false" customHeight="true" outlineLevel="0" collapsed="false">
      <c r="A134" s="54" t="s">
        <v>1216</v>
      </c>
      <c r="B134" s="56"/>
      <c r="C134" s="60" t="n">
        <v>40000</v>
      </c>
      <c r="D134" s="60" t="n">
        <v>120000</v>
      </c>
      <c r="E134" s="60" t="n">
        <v>80000</v>
      </c>
      <c r="F134" s="56" t="s">
        <v>1101</v>
      </c>
      <c r="G134" s="46"/>
    </row>
    <row r="135" customFormat="false" ht="15" hidden="false" customHeight="true" outlineLevel="0" collapsed="false">
      <c r="A135" s="54" t="s">
        <v>1217</v>
      </c>
      <c r="B135" s="56"/>
      <c r="C135" s="60" t="n">
        <v>40000</v>
      </c>
      <c r="D135" s="60" t="n">
        <v>90000</v>
      </c>
      <c r="E135" s="60" t="n">
        <v>65000</v>
      </c>
      <c r="F135" s="56" t="s">
        <v>892</v>
      </c>
      <c r="G135" s="46"/>
    </row>
    <row r="136" customFormat="false" ht="15" hidden="false" customHeight="true" outlineLevel="0" collapsed="false">
      <c r="A136" s="54" t="s">
        <v>1218</v>
      </c>
      <c r="B136" s="56"/>
      <c r="C136" s="60" t="n">
        <v>10000</v>
      </c>
      <c r="D136" s="60" t="n">
        <v>25000</v>
      </c>
      <c r="E136" s="60" t="n">
        <v>17500</v>
      </c>
      <c r="F136" s="56" t="s">
        <v>892</v>
      </c>
      <c r="G136" s="46"/>
    </row>
    <row r="137" customFormat="false" ht="15" hidden="false" customHeight="true" outlineLevel="0" collapsed="false">
      <c r="A137" s="54" t="s">
        <v>1219</v>
      </c>
      <c r="B137" s="56"/>
      <c r="C137" s="60" t="n">
        <v>10000</v>
      </c>
      <c r="D137" s="60" t="n">
        <v>15000</v>
      </c>
      <c r="E137" s="60" t="n">
        <v>12500</v>
      </c>
      <c r="F137" s="56" t="s">
        <v>1101</v>
      </c>
      <c r="G137" s="46"/>
    </row>
    <row r="138" customFormat="false" ht="15" hidden="false" customHeight="true" outlineLevel="0" collapsed="false">
      <c r="A138" s="117" t="s">
        <v>1220</v>
      </c>
      <c r="B138" s="334"/>
      <c r="C138" s="102" t="n">
        <f aca="false">SUM(C134:C137)</f>
        <v>100000</v>
      </c>
      <c r="D138" s="102" t="n">
        <f aca="false">SUM(D134:D137)</f>
        <v>250000</v>
      </c>
      <c r="E138" s="102" t="n">
        <f aca="false">SUM(E134:E137)</f>
        <v>175000</v>
      </c>
      <c r="F138" s="334"/>
      <c r="G138" s="46"/>
    </row>
    <row r="139" customFormat="false" ht="15" hidden="false" customHeight="true" outlineLevel="0" collapsed="false">
      <c r="A139" s="48" t="s">
        <v>1221</v>
      </c>
      <c r="B139" s="331"/>
      <c r="C139" s="332"/>
      <c r="D139" s="332"/>
      <c r="E139" s="332"/>
      <c r="F139" s="331"/>
      <c r="G139" s="46"/>
    </row>
    <row r="140" customFormat="false" ht="15" hidden="false" customHeight="true" outlineLevel="0" collapsed="false">
      <c r="A140" s="54" t="s">
        <v>1222</v>
      </c>
      <c r="B140" s="56"/>
      <c r="C140" s="60" t="n">
        <v>180000</v>
      </c>
      <c r="D140" s="60" t="n">
        <v>200000</v>
      </c>
      <c r="E140" s="60" t="n">
        <v>180000</v>
      </c>
      <c r="F140" s="56" t="s">
        <v>892</v>
      </c>
      <c r="G140" s="46"/>
    </row>
    <row r="141" customFormat="false" ht="15" hidden="false" customHeight="true" outlineLevel="0" collapsed="false">
      <c r="A141" s="54" t="s">
        <v>1223</v>
      </c>
      <c r="B141" s="56"/>
      <c r="C141" s="60" t="n">
        <v>0</v>
      </c>
      <c r="D141" s="60" t="n">
        <v>0</v>
      </c>
      <c r="E141" s="60" t="n">
        <v>0</v>
      </c>
      <c r="F141" s="56" t="s">
        <v>1101</v>
      </c>
      <c r="G141" s="46"/>
    </row>
    <row r="142" customFormat="false" ht="15" hidden="false" customHeight="true" outlineLevel="0" collapsed="false">
      <c r="A142" s="117" t="s">
        <v>1224</v>
      </c>
      <c r="B142" s="334"/>
      <c r="C142" s="102" t="n">
        <f aca="false">SUM(C140:C141)</f>
        <v>180000</v>
      </c>
      <c r="D142" s="102" t="n">
        <f aca="false">SUM(D140:D141)</f>
        <v>200000</v>
      </c>
      <c r="E142" s="102" t="n">
        <f aca="false">SUM(E140:E141)</f>
        <v>180000</v>
      </c>
      <c r="F142" s="334"/>
      <c r="G142" s="46"/>
    </row>
    <row r="143" customFormat="false" ht="15" hidden="false" customHeight="true" outlineLevel="0" collapsed="false">
      <c r="A143" s="48" t="s">
        <v>1225</v>
      </c>
      <c r="B143" s="331"/>
      <c r="C143" s="332"/>
      <c r="D143" s="332"/>
      <c r="E143" s="332"/>
      <c r="F143" s="331"/>
      <c r="G143" s="46"/>
    </row>
    <row r="144" customFormat="false" ht="15" hidden="false" customHeight="true" outlineLevel="0" collapsed="false">
      <c r="A144" s="54" t="s">
        <v>1226</v>
      </c>
      <c r="B144" s="56"/>
      <c r="C144" s="60" t="n">
        <v>150000</v>
      </c>
      <c r="D144" s="60" t="n">
        <v>210000</v>
      </c>
      <c r="E144" s="60" t="n">
        <v>180000</v>
      </c>
      <c r="F144" s="56" t="s">
        <v>113</v>
      </c>
      <c r="G144" s="46"/>
    </row>
    <row r="145" customFormat="false" ht="15" hidden="false" customHeight="true" outlineLevel="0" collapsed="false">
      <c r="A145" s="54" t="s">
        <v>1227</v>
      </c>
      <c r="B145" s="329"/>
      <c r="C145" s="60" t="n">
        <v>120000</v>
      </c>
      <c r="D145" s="60" t="n">
        <v>180000</v>
      </c>
      <c r="E145" s="60" t="n">
        <v>150000</v>
      </c>
      <c r="F145" s="56" t="s">
        <v>113</v>
      </c>
      <c r="G145" s="46"/>
    </row>
    <row r="146" customFormat="false" ht="15" hidden="false" customHeight="true" outlineLevel="0" collapsed="false">
      <c r="A146" s="54" t="s">
        <v>1228</v>
      </c>
      <c r="B146" s="329"/>
      <c r="C146" s="338" t="n">
        <v>250000</v>
      </c>
      <c r="D146" s="338" t="n">
        <v>350000</v>
      </c>
      <c r="E146" s="338" t="n">
        <v>300000</v>
      </c>
      <c r="F146" s="56" t="s">
        <v>113</v>
      </c>
      <c r="G146" s="46"/>
    </row>
    <row r="147" customFormat="false" ht="15" hidden="false" customHeight="true" outlineLevel="0" collapsed="false">
      <c r="A147" s="54" t="s">
        <v>1229</v>
      </c>
      <c r="B147" s="329"/>
      <c r="C147" s="338" t="n">
        <v>120000</v>
      </c>
      <c r="D147" s="338" t="n">
        <v>180000</v>
      </c>
      <c r="E147" s="338" t="n">
        <v>150000</v>
      </c>
      <c r="F147" s="56" t="s">
        <v>113</v>
      </c>
      <c r="G147" s="46"/>
    </row>
    <row r="148" customFormat="false" ht="45.75" hidden="false" customHeight="true" outlineLevel="0" collapsed="false">
      <c r="A148" s="103" t="s">
        <v>1230</v>
      </c>
      <c r="B148" s="329"/>
      <c r="C148" s="60" t="n">
        <v>70000</v>
      </c>
      <c r="D148" s="60" t="n">
        <v>110000</v>
      </c>
      <c r="E148" s="60" t="n">
        <v>90000</v>
      </c>
      <c r="F148" s="56" t="s">
        <v>113</v>
      </c>
      <c r="G148" s="46"/>
    </row>
    <row r="149" customFormat="false" ht="15" hidden="false" customHeight="true" outlineLevel="0" collapsed="false">
      <c r="A149" s="54" t="s">
        <v>1231</v>
      </c>
      <c r="B149" s="329"/>
      <c r="C149" s="60" t="n">
        <v>150000</v>
      </c>
      <c r="D149" s="60" t="n">
        <v>200000</v>
      </c>
      <c r="E149" s="60" t="n">
        <v>175000</v>
      </c>
      <c r="F149" s="56" t="s">
        <v>113</v>
      </c>
      <c r="G149" s="46"/>
    </row>
    <row r="150" customFormat="false" ht="15" hidden="false" customHeight="true" outlineLevel="0" collapsed="false">
      <c r="A150" s="54" t="s">
        <v>1232</v>
      </c>
      <c r="B150" s="329"/>
      <c r="C150" s="60" t="n">
        <v>110000</v>
      </c>
      <c r="D150" s="60" t="n">
        <v>175000</v>
      </c>
      <c r="E150" s="60" t="n">
        <v>143000</v>
      </c>
      <c r="F150" s="56" t="s">
        <v>113</v>
      </c>
      <c r="G150" s="46"/>
    </row>
    <row r="151" customFormat="false" ht="15" hidden="false" customHeight="true" outlineLevel="0" collapsed="false">
      <c r="A151" s="117" t="s">
        <v>1233</v>
      </c>
      <c r="B151" s="330"/>
      <c r="C151" s="102" t="n">
        <f aca="false">SUM(C144:C150)</f>
        <v>970000</v>
      </c>
      <c r="D151" s="102" t="n">
        <f aca="false">SUM(D144:D150)</f>
        <v>1405000</v>
      </c>
      <c r="E151" s="102" t="n">
        <f aca="false">SUM(E144:E150)</f>
        <v>1188000</v>
      </c>
      <c r="F151" s="330"/>
      <c r="G151" s="46"/>
    </row>
    <row r="152" customFormat="false" ht="15" hidden="false" customHeight="true" outlineLevel="0" collapsed="false">
      <c r="A152" s="341"/>
      <c r="B152" s="46"/>
      <c r="C152" s="342"/>
      <c r="D152" s="342"/>
      <c r="E152" s="342"/>
      <c r="F152" s="46"/>
      <c r="G152" s="46"/>
    </row>
    <row r="153" customFormat="false" ht="15" hidden="false" customHeight="true" outlineLevel="0" collapsed="false">
      <c r="A153" s="343" t="s">
        <v>1234</v>
      </c>
      <c r="B153" s="49"/>
      <c r="C153" s="344" t="n">
        <f aca="false">C110+C117+C123+C128+C132+C138+C142+C151</f>
        <v>2636000</v>
      </c>
      <c r="D153" s="344" t="n">
        <f aca="false">D110+D117+D123+D128+D132+D138+D142+D151</f>
        <v>3683000</v>
      </c>
      <c r="E153" s="344" t="n">
        <f aca="false">E110+E117+E123+E128+E132+E138+E142+E151</f>
        <v>3150000</v>
      </c>
      <c r="F153" s="49"/>
      <c r="G153" s="46"/>
    </row>
    <row r="154" customFormat="false" ht="36.75" hidden="false" customHeight="true" outlineLevel="0" collapsed="false">
      <c r="A154" s="47"/>
      <c r="B154" s="46"/>
      <c r="C154" s="46"/>
      <c r="D154" s="46"/>
      <c r="E154" s="46"/>
      <c r="F154" s="46"/>
      <c r="G154" s="46"/>
    </row>
    <row r="155" customFormat="false" ht="36.75" hidden="false" customHeight="true" outlineLevel="0" collapsed="false">
      <c r="A155" s="47" t="s">
        <v>1235</v>
      </c>
      <c r="B155" s="46"/>
      <c r="C155" s="46"/>
      <c r="D155" s="46"/>
      <c r="E155" s="46"/>
      <c r="F155" s="46"/>
      <c r="G155" s="4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5"/>
    <col collapsed="false" customWidth="true" hidden="false" outlineLevel="0" max="3" min="3" style="1" width="46"/>
    <col collapsed="false" customWidth="true" hidden="false" outlineLevel="0" max="7" min="4" style="1" width="15"/>
  </cols>
  <sheetData>
    <row r="1" customFormat="false" ht="17.25" hidden="false" customHeight="true" outlineLevel="0" collapsed="false">
      <c r="A1" s="45" t="s">
        <v>1236</v>
      </c>
      <c r="B1" s="46"/>
      <c r="C1" s="46"/>
      <c r="D1" s="46"/>
      <c r="E1" s="46"/>
      <c r="F1" s="46"/>
      <c r="G1" s="46"/>
    </row>
    <row r="2" customFormat="false" ht="15" hidden="false" customHeight="true" outlineLevel="0" collapsed="false">
      <c r="A2" s="76" t="s">
        <v>1237</v>
      </c>
      <c r="B2" s="46"/>
      <c r="C2" s="46"/>
      <c r="D2" s="46"/>
      <c r="E2" s="46"/>
      <c r="F2" s="46"/>
      <c r="G2" s="46"/>
    </row>
    <row r="3" customFormat="false" ht="15" hidden="false" customHeight="true" outlineLevel="0" collapsed="false">
      <c r="A3" s="348" t="s">
        <v>1238</v>
      </c>
      <c r="B3" s="349" t="s">
        <v>150</v>
      </c>
      <c r="C3" s="349" t="s">
        <v>1239</v>
      </c>
      <c r="D3" s="46"/>
      <c r="E3" s="46"/>
      <c r="F3" s="46"/>
      <c r="G3" s="46"/>
    </row>
    <row r="4" customFormat="false" ht="18.75" hidden="false" customHeight="true" outlineLevel="0" collapsed="false">
      <c r="A4" s="54" t="s">
        <v>1240</v>
      </c>
      <c r="B4" s="60" t="n">
        <v>2930000</v>
      </c>
      <c r="C4" s="65" t="s">
        <v>1241</v>
      </c>
      <c r="D4" s="46"/>
      <c r="E4" s="46"/>
      <c r="F4" s="46"/>
      <c r="G4" s="46"/>
    </row>
    <row r="5" customFormat="false" ht="18.75" hidden="false" customHeight="true" outlineLevel="0" collapsed="false">
      <c r="A5" s="54" t="s">
        <v>1242</v>
      </c>
      <c r="B5" s="60" t="n">
        <v>160000</v>
      </c>
      <c r="C5" s="65" t="s">
        <v>1243</v>
      </c>
      <c r="D5" s="46"/>
      <c r="E5" s="46"/>
      <c r="F5" s="46"/>
      <c r="G5" s="46"/>
    </row>
    <row r="6" customFormat="false" ht="15" hidden="false" customHeight="true" outlineLevel="0" collapsed="false">
      <c r="A6" s="54" t="s">
        <v>1244</v>
      </c>
      <c r="B6" s="60" t="n">
        <v>27000</v>
      </c>
      <c r="C6" s="65" t="s">
        <v>1245</v>
      </c>
      <c r="D6" s="46"/>
      <c r="E6" s="46"/>
      <c r="F6" s="46"/>
      <c r="G6" s="46"/>
    </row>
    <row r="7" customFormat="false" ht="15" hidden="false" customHeight="true" outlineLevel="0" collapsed="false">
      <c r="A7" s="54" t="s">
        <v>1246</v>
      </c>
      <c r="B7" s="60" t="n">
        <v>103000</v>
      </c>
      <c r="C7" s="65" t="s">
        <v>1247</v>
      </c>
      <c r="D7" s="46"/>
      <c r="E7" s="46"/>
      <c r="F7" s="46"/>
      <c r="G7" s="46"/>
    </row>
    <row r="8" customFormat="false" ht="15" hidden="false" customHeight="true" outlineLevel="0" collapsed="false">
      <c r="A8" s="54" t="s">
        <v>1248</v>
      </c>
      <c r="B8" s="60" t="n">
        <v>643000</v>
      </c>
      <c r="C8" s="65" t="s">
        <v>1249</v>
      </c>
      <c r="D8" s="46"/>
      <c r="E8" s="46"/>
      <c r="F8" s="46"/>
      <c r="G8" s="46"/>
    </row>
    <row r="9" customFormat="false" ht="15" hidden="false" customHeight="true" outlineLevel="0" collapsed="false">
      <c r="A9" s="54" t="s">
        <v>1250</v>
      </c>
      <c r="B9" s="60" t="n">
        <v>50000</v>
      </c>
      <c r="C9" s="65"/>
      <c r="D9" s="46"/>
      <c r="E9" s="46"/>
      <c r="F9" s="46"/>
      <c r="G9" s="46"/>
    </row>
    <row r="10" customFormat="false" ht="15" hidden="false" customHeight="true" outlineLevel="0" collapsed="false">
      <c r="A10" s="117" t="s">
        <v>1251</v>
      </c>
      <c r="B10" s="102" t="n">
        <f aca="false">SUM(B4:B9)</f>
        <v>3913000</v>
      </c>
      <c r="C10" s="330"/>
      <c r="D10" s="46"/>
      <c r="E10" s="46"/>
      <c r="F10" s="46"/>
      <c r="G10" s="46"/>
    </row>
    <row r="11" customFormat="false" ht="15" hidden="false" customHeight="true" outlineLevel="0" collapsed="false">
      <c r="A11" s="76" t="s">
        <v>1252</v>
      </c>
      <c r="B11" s="46"/>
      <c r="C11" s="46"/>
      <c r="D11" s="46"/>
      <c r="E11" s="46"/>
      <c r="F11" s="46"/>
      <c r="G11" s="46"/>
    </row>
    <row r="12" customFormat="false" ht="15" hidden="false" customHeight="true" outlineLevel="0" collapsed="false">
      <c r="A12" s="46"/>
      <c r="B12" s="46"/>
      <c r="C12" s="46"/>
      <c r="D12" s="46"/>
      <c r="E12" s="46"/>
      <c r="F12" s="46"/>
      <c r="G12" s="46"/>
    </row>
    <row r="13" customFormat="false" ht="15" hidden="false" customHeight="true" outlineLevel="0" collapsed="false">
      <c r="A13" s="117" t="s">
        <v>1253</v>
      </c>
      <c r="B13" s="330"/>
      <c r="C13" s="330"/>
      <c r="D13" s="46"/>
      <c r="E13" s="46"/>
      <c r="F13" s="46"/>
      <c r="G13" s="46"/>
    </row>
    <row r="14" customFormat="false" ht="15" hidden="false" customHeight="true" outlineLevel="0" collapsed="false">
      <c r="A14" s="54" t="s">
        <v>1254</v>
      </c>
      <c r="B14" s="60" t="n">
        <v>250000</v>
      </c>
      <c r="C14" s="56" t="s">
        <v>1255</v>
      </c>
      <c r="D14" s="46"/>
      <c r="E14" s="46"/>
      <c r="F14" s="46"/>
      <c r="G14" s="46"/>
    </row>
    <row r="15" customFormat="false" ht="15" hidden="false" customHeight="true" outlineLevel="0" collapsed="false">
      <c r="A15" s="54" t="s">
        <v>1256</v>
      </c>
      <c r="B15" s="60" t="n">
        <v>250000</v>
      </c>
      <c r="C15" s="56" t="s">
        <v>1257</v>
      </c>
      <c r="D15" s="46"/>
      <c r="E15" s="46"/>
      <c r="F15" s="46"/>
      <c r="G15" s="46"/>
    </row>
    <row r="16" customFormat="false" ht="15" hidden="false" customHeight="true" outlineLevel="0" collapsed="false">
      <c r="A16" s="54" t="s">
        <v>1258</v>
      </c>
      <c r="B16" s="60" t="n">
        <v>100000</v>
      </c>
      <c r="C16" s="56" t="s">
        <v>1259</v>
      </c>
      <c r="D16" s="46"/>
      <c r="E16" s="46"/>
      <c r="F16" s="46"/>
      <c r="G16" s="46"/>
    </row>
    <row r="17" customFormat="false" ht="15" hidden="false" customHeight="true" outlineLevel="0" collapsed="false">
      <c r="A17" s="350" t="s">
        <v>1260</v>
      </c>
      <c r="B17" s="351" t="n">
        <f aca="false">SUM(B14:B16)</f>
        <v>600000</v>
      </c>
      <c r="C17" s="352"/>
      <c r="D17" s="46"/>
      <c r="E17" s="46"/>
      <c r="F17" s="46"/>
      <c r="G17" s="46"/>
    </row>
    <row r="18" customFormat="false" ht="15" hidden="false" customHeight="true" outlineLevel="0" collapsed="false">
      <c r="A18" s="76" t="s">
        <v>1261</v>
      </c>
      <c r="B18" s="46"/>
      <c r="C18" s="46"/>
      <c r="D18" s="46"/>
      <c r="E18" s="46"/>
      <c r="F18" s="46"/>
      <c r="G18" s="46"/>
    </row>
    <row r="19" customFormat="false" ht="15" hidden="false" customHeight="true" outlineLevel="0" collapsed="false">
      <c r="A19" s="46"/>
      <c r="B19" s="46"/>
      <c r="C19" s="46"/>
      <c r="D19" s="46"/>
      <c r="E19" s="46"/>
      <c r="F19" s="46"/>
      <c r="G19" s="46"/>
    </row>
    <row r="20" customFormat="false" ht="15" hidden="false" customHeight="true" outlineLevel="0" collapsed="false">
      <c r="A20" s="48" t="s">
        <v>1262</v>
      </c>
      <c r="B20" s="49"/>
      <c r="C20" s="49"/>
      <c r="D20" s="49"/>
      <c r="E20" s="49"/>
      <c r="F20" s="49"/>
      <c r="G20" s="49"/>
    </row>
    <row r="21" customFormat="false" ht="90" hidden="false" customHeight="true" outlineLevel="0" collapsed="false">
      <c r="A21" s="353" t="s">
        <v>1263</v>
      </c>
      <c r="B21" s="353"/>
      <c r="C21" s="353"/>
      <c r="D21" s="353"/>
      <c r="E21" s="353"/>
      <c r="F21" s="353"/>
      <c r="G21" s="353"/>
    </row>
    <row r="22" customFormat="false" ht="25.5" hidden="false" customHeight="true" outlineLevel="0" collapsed="false">
      <c r="A22" s="51" t="s">
        <v>1264</v>
      </c>
      <c r="B22" s="52" t="s">
        <v>1265</v>
      </c>
      <c r="C22" s="51" t="s">
        <v>1266</v>
      </c>
      <c r="D22" s="52" t="s">
        <v>1267</v>
      </c>
      <c r="E22" s="52" t="s">
        <v>1268</v>
      </c>
      <c r="F22" s="52" t="s">
        <v>372</v>
      </c>
      <c r="G22" s="52" t="s">
        <v>1269</v>
      </c>
    </row>
    <row r="23" customFormat="false" ht="15" hidden="false" customHeight="true" outlineLevel="0" collapsed="false">
      <c r="A23" s="54" t="s">
        <v>1270</v>
      </c>
      <c r="B23" s="354" t="n">
        <v>35</v>
      </c>
      <c r="C23" s="65" t="s">
        <v>1271</v>
      </c>
      <c r="D23" s="355" t="n">
        <v>1</v>
      </c>
      <c r="E23" s="356" t="n">
        <v>0.73</v>
      </c>
      <c r="F23" s="87" t="n">
        <v>1380000</v>
      </c>
      <c r="G23" s="357" t="n">
        <v>0.04</v>
      </c>
    </row>
    <row r="24" customFormat="false" ht="15" hidden="false" customHeight="true" outlineLevel="0" collapsed="false">
      <c r="A24" s="54" t="s">
        <v>1272</v>
      </c>
      <c r="B24" s="354" t="n">
        <v>15.8</v>
      </c>
      <c r="C24" s="65" t="s">
        <v>1273</v>
      </c>
      <c r="D24" s="355" t="n">
        <v>1</v>
      </c>
      <c r="E24" s="356" t="n">
        <v>0.33</v>
      </c>
      <c r="F24" s="87" t="n">
        <v>1380000</v>
      </c>
      <c r="G24" s="357" t="n">
        <v>0.088</v>
      </c>
    </row>
    <row r="25" customFormat="false" ht="15" hidden="false" customHeight="true" outlineLevel="0" collapsed="false">
      <c r="A25" s="54" t="s">
        <v>1274</v>
      </c>
      <c r="B25" s="354" t="n">
        <v>18.5</v>
      </c>
      <c r="C25" s="65" t="s">
        <v>1275</v>
      </c>
      <c r="D25" s="355" t="n">
        <v>1</v>
      </c>
      <c r="E25" s="356" t="n">
        <v>0.39</v>
      </c>
      <c r="F25" s="87" t="n">
        <v>1380000</v>
      </c>
      <c r="G25" s="357" t="n">
        <v>0.075</v>
      </c>
    </row>
    <row r="26" customFormat="false" ht="15" hidden="false" customHeight="true" outlineLevel="0" collapsed="false">
      <c r="A26" s="54" t="s">
        <v>1276</v>
      </c>
      <c r="B26" s="354" t="n">
        <v>145</v>
      </c>
      <c r="C26" s="65" t="s">
        <v>1277</v>
      </c>
      <c r="D26" s="355" t="n">
        <v>3</v>
      </c>
      <c r="E26" s="356" t="n">
        <v>1.01</v>
      </c>
      <c r="F26" s="87" t="n">
        <v>4150000</v>
      </c>
      <c r="G26" s="357" t="n">
        <v>0.029</v>
      </c>
    </row>
    <row r="27" customFormat="false" ht="15" hidden="false" customHeight="true" outlineLevel="0" collapsed="false">
      <c r="A27" s="54" t="s">
        <v>1278</v>
      </c>
      <c r="B27" s="354" t="n">
        <v>95</v>
      </c>
      <c r="C27" s="65" t="s">
        <v>1279</v>
      </c>
      <c r="D27" s="355" t="n">
        <v>2</v>
      </c>
      <c r="E27" s="356" t="n">
        <v>0.99</v>
      </c>
      <c r="F27" s="87" t="n">
        <v>2770000</v>
      </c>
      <c r="G27" s="357" t="n">
        <v>0.029</v>
      </c>
    </row>
    <row r="28" customFormat="false" ht="15" hidden="false" customHeight="true" outlineLevel="0" collapsed="false">
      <c r="A28" s="54" t="s">
        <v>1280</v>
      </c>
      <c r="B28" s="354" t="n">
        <v>40</v>
      </c>
      <c r="C28" s="65" t="s">
        <v>1281</v>
      </c>
      <c r="D28" s="355" t="n">
        <v>1</v>
      </c>
      <c r="E28" s="356" t="n">
        <v>0.83</v>
      </c>
      <c r="F28" s="87" t="n">
        <v>1380000</v>
      </c>
      <c r="G28" s="357" t="n">
        <v>0.035</v>
      </c>
    </row>
    <row r="29" customFormat="false" ht="15" hidden="false" customHeight="true" outlineLevel="0" collapsed="false">
      <c r="A29" s="54" t="s">
        <v>1282</v>
      </c>
      <c r="B29" s="354" t="n">
        <v>27</v>
      </c>
      <c r="C29" s="65" t="s">
        <v>1283</v>
      </c>
      <c r="D29" s="355" t="n">
        <v>1</v>
      </c>
      <c r="E29" s="356" t="n">
        <v>0.56</v>
      </c>
      <c r="F29" s="87" t="n">
        <v>1380000</v>
      </c>
      <c r="G29" s="357" t="n">
        <v>0.051</v>
      </c>
    </row>
    <row r="30" customFormat="false" ht="15" hidden="false" customHeight="true" outlineLevel="0" collapsed="false">
      <c r="A30" s="54" t="s">
        <v>1284</v>
      </c>
      <c r="B30" s="354" t="n">
        <v>30</v>
      </c>
      <c r="C30" s="65" t="s">
        <v>1285</v>
      </c>
      <c r="D30" s="355" t="n">
        <v>1</v>
      </c>
      <c r="E30" s="356" t="n">
        <v>0.63</v>
      </c>
      <c r="F30" s="87" t="n">
        <v>1380000</v>
      </c>
      <c r="G30" s="357" t="n">
        <v>0.046</v>
      </c>
    </row>
    <row r="31" customFormat="false" ht="15" hidden="false" customHeight="true" outlineLevel="0" collapsed="false">
      <c r="A31" s="54" t="s">
        <v>1286</v>
      </c>
      <c r="B31" s="354" t="n">
        <v>11</v>
      </c>
      <c r="C31" s="65" t="s">
        <v>1287</v>
      </c>
      <c r="D31" s="355" t="n">
        <v>1</v>
      </c>
      <c r="E31" s="356" t="n">
        <v>0.23</v>
      </c>
      <c r="F31" s="87" t="n">
        <v>1380000</v>
      </c>
      <c r="G31" s="357" t="n">
        <v>0.126</v>
      </c>
    </row>
    <row r="32" customFormat="false" ht="15" hidden="false" customHeight="true" outlineLevel="0" collapsed="false">
      <c r="A32" s="54" t="s">
        <v>1288</v>
      </c>
      <c r="B32" s="354" t="n">
        <v>39.9</v>
      </c>
      <c r="C32" s="65" t="s">
        <v>1289</v>
      </c>
      <c r="D32" s="355" t="n">
        <v>1</v>
      </c>
      <c r="E32" s="356" t="n">
        <v>0.83</v>
      </c>
      <c r="F32" s="87" t="n">
        <v>1380000</v>
      </c>
      <c r="G32" s="357" t="n">
        <v>0.035</v>
      </c>
    </row>
    <row r="33" customFormat="false" ht="15" hidden="false" customHeight="true" outlineLevel="0" collapsed="false">
      <c r="A33" s="54" t="s">
        <v>1290</v>
      </c>
      <c r="B33" s="354" t="n">
        <v>10.5</v>
      </c>
      <c r="C33" s="65" t="s">
        <v>1291</v>
      </c>
      <c r="D33" s="355" t="n">
        <v>1</v>
      </c>
      <c r="E33" s="356" t="n">
        <v>0.22</v>
      </c>
      <c r="F33" s="87" t="n">
        <v>1380000</v>
      </c>
      <c r="G33" s="357" t="n">
        <v>0.132</v>
      </c>
    </row>
    <row r="34" customFormat="false" ht="15" hidden="false" customHeight="true" outlineLevel="0" collapsed="false">
      <c r="A34" s="54" t="s">
        <v>1292</v>
      </c>
      <c r="B34" s="354" t="n">
        <v>46</v>
      </c>
      <c r="C34" s="65" t="s">
        <v>1293</v>
      </c>
      <c r="D34" s="355" t="n">
        <v>1</v>
      </c>
      <c r="E34" s="356" t="n">
        <v>0.96</v>
      </c>
      <c r="F34" s="87" t="n">
        <v>1380000</v>
      </c>
      <c r="G34" s="357" t="n">
        <v>0.03</v>
      </c>
    </row>
    <row r="35" customFormat="false" ht="15" hidden="false" customHeight="true" outlineLevel="0" collapsed="false">
      <c r="A35" s="54" t="s">
        <v>1294</v>
      </c>
      <c r="B35" s="354" t="n">
        <v>36</v>
      </c>
      <c r="C35" s="65" t="s">
        <v>1295</v>
      </c>
      <c r="D35" s="355" t="n">
        <v>1</v>
      </c>
      <c r="E35" s="356" t="n">
        <v>0.75</v>
      </c>
      <c r="F35" s="87" t="n">
        <v>1380000</v>
      </c>
      <c r="G35" s="357" t="n">
        <v>0.038</v>
      </c>
    </row>
    <row r="36" customFormat="false" ht="15" hidden="false" customHeight="true" outlineLevel="0" collapsed="false">
      <c r="A36" s="54" t="s">
        <v>1296</v>
      </c>
      <c r="B36" s="354" t="n">
        <v>41</v>
      </c>
      <c r="C36" s="65" t="s">
        <v>1297</v>
      </c>
      <c r="D36" s="355" t="n">
        <v>1</v>
      </c>
      <c r="E36" s="356" t="n">
        <v>0.85</v>
      </c>
      <c r="F36" s="87" t="n">
        <v>1380000</v>
      </c>
      <c r="G36" s="357" t="n">
        <v>0.034</v>
      </c>
    </row>
    <row r="37" customFormat="false" ht="15" hidden="false" customHeight="true" outlineLevel="0" collapsed="false">
      <c r="A37" s="117" t="s">
        <v>1298</v>
      </c>
      <c r="B37" s="358" t="n">
        <v>590</v>
      </c>
      <c r="C37" s="117" t="s">
        <v>1299</v>
      </c>
      <c r="D37" s="118" t="n">
        <v>17</v>
      </c>
      <c r="E37" s="359" t="n">
        <v>0.72</v>
      </c>
      <c r="F37" s="102" t="n">
        <v>23500000</v>
      </c>
      <c r="G37" s="99" t="n">
        <v>0.04</v>
      </c>
    </row>
  </sheetData>
  <mergeCells count="1">
    <mergeCell ref="A21:G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3"/>
    <col collapsed="false" customWidth="true" hidden="false" outlineLevel="0" max="2" min="2" style="1" width="38"/>
    <col collapsed="false" customWidth="true" hidden="false" outlineLevel="0" max="3" min="3" style="1" width="27"/>
    <col collapsed="false" customWidth="true" hidden="false" outlineLevel="0" max="5" min="4" style="1" width="15"/>
  </cols>
  <sheetData>
    <row r="1" customFormat="false" ht="17.25" hidden="false" customHeight="true" outlineLevel="0" collapsed="false">
      <c r="A1" s="45" t="s">
        <v>1300</v>
      </c>
      <c r="B1" s="46"/>
      <c r="C1" s="46"/>
      <c r="D1" s="46"/>
      <c r="E1" s="46"/>
    </row>
    <row r="2" customFormat="false" ht="42" hidden="false" customHeight="true" outlineLevel="0" collapsed="false">
      <c r="A2" s="47" t="s">
        <v>1301</v>
      </c>
      <c r="B2" s="46"/>
      <c r="C2" s="46"/>
      <c r="D2" s="46"/>
      <c r="E2" s="46"/>
    </row>
    <row r="3" customFormat="false" ht="15" hidden="false" customHeight="true" outlineLevel="0" collapsed="false">
      <c r="A3" s="348" t="s">
        <v>1238</v>
      </c>
      <c r="B3" s="348" t="s">
        <v>1302</v>
      </c>
      <c r="C3" s="348" t="s">
        <v>1303</v>
      </c>
      <c r="D3" s="349" t="s">
        <v>1304</v>
      </c>
      <c r="E3" s="349" t="s">
        <v>1305</v>
      </c>
    </row>
    <row r="4" customFormat="false" ht="15" hidden="false" customHeight="true" outlineLevel="0" collapsed="false">
      <c r="A4" s="117" t="s">
        <v>1306</v>
      </c>
      <c r="B4" s="330"/>
      <c r="C4" s="330"/>
      <c r="D4" s="330"/>
      <c r="E4" s="330"/>
    </row>
    <row r="5" customFormat="false" ht="20.25" hidden="false" customHeight="true" outlineLevel="0" collapsed="false">
      <c r="A5" s="54" t="s">
        <v>1307</v>
      </c>
      <c r="B5" s="103" t="s">
        <v>1308</v>
      </c>
      <c r="C5" s="65" t="s">
        <v>128</v>
      </c>
      <c r="D5" s="60" t="n">
        <v>3</v>
      </c>
      <c r="E5" s="60" t="n">
        <v>5</v>
      </c>
    </row>
    <row r="6" customFormat="false" ht="20.25" hidden="false" customHeight="true" outlineLevel="0" collapsed="false">
      <c r="A6" s="54" t="s">
        <v>1309</v>
      </c>
      <c r="B6" s="103" t="s">
        <v>1310</v>
      </c>
      <c r="C6" s="65" t="s">
        <v>1311</v>
      </c>
      <c r="D6" s="60" t="n">
        <v>1</v>
      </c>
      <c r="E6" s="60" t="n">
        <v>2</v>
      </c>
    </row>
    <row r="7" customFormat="false" ht="15" hidden="false" customHeight="true" outlineLevel="0" collapsed="false">
      <c r="A7" s="54" t="s">
        <v>1312</v>
      </c>
      <c r="B7" s="103" t="s">
        <v>1313</v>
      </c>
      <c r="C7" s="65" t="s">
        <v>1314</v>
      </c>
      <c r="D7" s="60" t="n">
        <v>2</v>
      </c>
      <c r="E7" s="60" t="n">
        <v>3</v>
      </c>
    </row>
    <row r="8" customFormat="false" ht="15" hidden="false" customHeight="true" outlineLevel="0" collapsed="false">
      <c r="A8" s="54" t="s">
        <v>1315</v>
      </c>
      <c r="B8" s="103" t="s">
        <v>1316</v>
      </c>
      <c r="C8" s="65" t="s">
        <v>1317</v>
      </c>
      <c r="D8" s="60" t="n">
        <v>1</v>
      </c>
      <c r="E8" s="60" t="n">
        <v>2</v>
      </c>
    </row>
    <row r="9" customFormat="false" ht="15" hidden="false" customHeight="true" outlineLevel="0" collapsed="false">
      <c r="A9" s="54" t="s">
        <v>1318</v>
      </c>
      <c r="B9" s="103" t="s">
        <v>1319</v>
      </c>
      <c r="C9" s="65" t="s">
        <v>1320</v>
      </c>
      <c r="D9" s="60" t="n">
        <v>3</v>
      </c>
      <c r="E9" s="60" t="n">
        <v>6</v>
      </c>
    </row>
    <row r="10" customFormat="false" ht="15" hidden="false" customHeight="true" outlineLevel="0" collapsed="false">
      <c r="A10" s="54" t="s">
        <v>1321</v>
      </c>
      <c r="B10" s="103" t="s">
        <v>1322</v>
      </c>
      <c r="C10" s="65" t="s">
        <v>1323</v>
      </c>
      <c r="D10" s="60" t="n">
        <v>1</v>
      </c>
      <c r="E10" s="60" t="n">
        <v>2</v>
      </c>
    </row>
    <row r="11" customFormat="false" ht="15" hidden="false" customHeight="true" outlineLevel="0" collapsed="false">
      <c r="A11" s="54" t="s">
        <v>1324</v>
      </c>
      <c r="B11" s="103" t="s">
        <v>1325</v>
      </c>
      <c r="C11" s="65" t="s">
        <v>128</v>
      </c>
      <c r="D11" s="60" t="n">
        <v>1</v>
      </c>
      <c r="E11" s="60" t="n">
        <v>2</v>
      </c>
    </row>
    <row r="12" customFormat="false" ht="15" hidden="false" customHeight="true" outlineLevel="0" collapsed="false">
      <c r="A12" s="54" t="s">
        <v>1326</v>
      </c>
      <c r="B12" s="103" t="s">
        <v>1327</v>
      </c>
      <c r="C12" s="65" t="s">
        <v>128</v>
      </c>
      <c r="D12" s="60" t="n">
        <v>7</v>
      </c>
      <c r="E12" s="60" t="n">
        <v>12</v>
      </c>
    </row>
    <row r="13" customFormat="false" ht="15" hidden="false" customHeight="true" outlineLevel="0" collapsed="false">
      <c r="A13" s="54" t="s">
        <v>1328</v>
      </c>
      <c r="B13" s="103" t="s">
        <v>1329</v>
      </c>
      <c r="C13" s="65" t="s">
        <v>128</v>
      </c>
      <c r="D13" s="60" t="n">
        <v>2</v>
      </c>
      <c r="E13" s="60" t="n">
        <v>4</v>
      </c>
    </row>
    <row r="14" customFormat="false" ht="15" hidden="false" customHeight="true" outlineLevel="0" collapsed="false">
      <c r="A14" s="54" t="s">
        <v>1330</v>
      </c>
      <c r="B14" s="103" t="s">
        <v>1331</v>
      </c>
      <c r="C14" s="65" t="s">
        <v>1332</v>
      </c>
      <c r="D14" s="60" t="n">
        <v>1</v>
      </c>
      <c r="E14" s="60" t="n">
        <v>1</v>
      </c>
    </row>
    <row r="15" customFormat="false" ht="15" hidden="false" customHeight="true" outlineLevel="0" collapsed="false">
      <c r="A15" s="54" t="s">
        <v>1333</v>
      </c>
      <c r="B15" s="103" t="s">
        <v>1334</v>
      </c>
      <c r="C15" s="65" t="s">
        <v>128</v>
      </c>
      <c r="D15" s="60" t="n">
        <v>5</v>
      </c>
      <c r="E15" s="60" t="n">
        <v>9</v>
      </c>
    </row>
    <row r="16" customFormat="false" ht="15" hidden="false" customHeight="true" outlineLevel="0" collapsed="false">
      <c r="A16" s="54" t="s">
        <v>1335</v>
      </c>
      <c r="B16" s="103" t="s">
        <v>1336</v>
      </c>
      <c r="C16" s="65" t="s">
        <v>128</v>
      </c>
      <c r="D16" s="60" t="n">
        <v>8</v>
      </c>
      <c r="E16" s="60" t="n">
        <v>13</v>
      </c>
    </row>
    <row r="17" customFormat="false" ht="15" hidden="false" customHeight="true" outlineLevel="0" collapsed="false">
      <c r="A17" s="54" t="s">
        <v>1337</v>
      </c>
      <c r="B17" s="103" t="s">
        <v>1338</v>
      </c>
      <c r="C17" s="65" t="s">
        <v>128</v>
      </c>
      <c r="D17" s="60" t="n">
        <v>2</v>
      </c>
      <c r="E17" s="60" t="n">
        <v>3</v>
      </c>
    </row>
    <row r="18" customFormat="false" ht="15" hidden="false" customHeight="true" outlineLevel="0" collapsed="false">
      <c r="A18" s="54" t="s">
        <v>1339</v>
      </c>
      <c r="B18" s="103" t="s">
        <v>1340</v>
      </c>
      <c r="C18" s="65" t="s">
        <v>128</v>
      </c>
      <c r="D18" s="60" t="n">
        <v>2</v>
      </c>
      <c r="E18" s="60" t="n">
        <v>4</v>
      </c>
    </row>
    <row r="19" customFormat="false" ht="15" hidden="false" customHeight="true" outlineLevel="0" collapsed="false">
      <c r="A19" s="54" t="s">
        <v>1341</v>
      </c>
      <c r="B19" s="103" t="s">
        <v>1342</v>
      </c>
      <c r="C19" s="65" t="s">
        <v>128</v>
      </c>
      <c r="D19" s="60" t="n">
        <v>2</v>
      </c>
      <c r="E19" s="60" t="n">
        <v>3</v>
      </c>
    </row>
    <row r="20" customFormat="false" ht="15" hidden="false" customHeight="true" outlineLevel="0" collapsed="false">
      <c r="A20" s="54" t="s">
        <v>1343</v>
      </c>
      <c r="B20" s="103" t="s">
        <v>1344</v>
      </c>
      <c r="C20" s="65" t="s">
        <v>128</v>
      </c>
      <c r="D20" s="60" t="n">
        <v>2</v>
      </c>
      <c r="E20" s="60" t="n">
        <v>4</v>
      </c>
    </row>
    <row r="21" customFormat="false" ht="15" hidden="false" customHeight="true" outlineLevel="0" collapsed="false">
      <c r="A21" s="54" t="s">
        <v>1345</v>
      </c>
      <c r="B21" s="103" t="s">
        <v>1346</v>
      </c>
      <c r="C21" s="65" t="s">
        <v>128</v>
      </c>
      <c r="D21" s="60" t="n">
        <v>3</v>
      </c>
      <c r="E21" s="60" t="n">
        <v>6</v>
      </c>
    </row>
    <row r="22" customFormat="false" ht="15" hidden="false" customHeight="true" outlineLevel="0" collapsed="false">
      <c r="A22" s="54" t="s">
        <v>1347</v>
      </c>
      <c r="B22" s="103" t="s">
        <v>1348</v>
      </c>
      <c r="C22" s="65" t="s">
        <v>128</v>
      </c>
      <c r="D22" s="60" t="n">
        <v>3</v>
      </c>
      <c r="E22" s="60" t="n">
        <v>5</v>
      </c>
    </row>
    <row r="23" customFormat="false" ht="15" hidden="false" customHeight="true" outlineLevel="0" collapsed="false">
      <c r="A23" s="54" t="s">
        <v>1349</v>
      </c>
      <c r="B23" s="103" t="s">
        <v>1350</v>
      </c>
      <c r="C23" s="65" t="s">
        <v>128</v>
      </c>
      <c r="D23" s="60" t="n">
        <v>2</v>
      </c>
      <c r="E23" s="60" t="n">
        <v>4</v>
      </c>
    </row>
    <row r="24" customFormat="false" ht="15" hidden="false" customHeight="true" outlineLevel="0" collapsed="false">
      <c r="A24" s="350" t="s">
        <v>1351</v>
      </c>
      <c r="B24" s="352"/>
      <c r="C24" s="352"/>
      <c r="D24" s="360" t="n">
        <f aca="false">SUM(D5:D23)</f>
        <v>51</v>
      </c>
      <c r="E24" s="360" t="n">
        <f aca="false">SUM(E5:E23)</f>
        <v>90</v>
      </c>
    </row>
    <row r="25" customFormat="false" ht="15" hidden="false" customHeight="true" outlineLevel="0" collapsed="false">
      <c r="A25" s="54" t="s">
        <v>1352</v>
      </c>
      <c r="B25" s="329"/>
      <c r="C25" s="329"/>
      <c r="D25" s="60" t="n">
        <v>7</v>
      </c>
      <c r="E25" s="60" t="n">
        <v>10</v>
      </c>
    </row>
    <row r="26" customFormat="false" ht="15" hidden="false" customHeight="true" outlineLevel="0" collapsed="false">
      <c r="A26" s="117" t="s">
        <v>1353</v>
      </c>
      <c r="B26" s="330"/>
      <c r="C26" s="330"/>
      <c r="D26" s="361" t="n">
        <f aca="false">D24+D25</f>
        <v>58</v>
      </c>
      <c r="E26" s="361" t="n">
        <f aca="false">E24+E25</f>
        <v>100</v>
      </c>
    </row>
    <row r="27" customFormat="false" ht="15" hidden="false" customHeight="true" outlineLevel="0" collapsed="false">
      <c r="A27" s="362" t="s">
        <v>1354</v>
      </c>
      <c r="B27" s="363"/>
      <c r="C27" s="363"/>
      <c r="D27" s="363"/>
      <c r="E27" s="364" t="n">
        <v>90</v>
      </c>
    </row>
    <row r="28" customFormat="false" ht="27.75" hidden="false" customHeight="true" outlineLevel="0" collapsed="false">
      <c r="A28" s="47" t="s">
        <v>1355</v>
      </c>
      <c r="B28" s="46"/>
      <c r="C28" s="46"/>
      <c r="D28" s="46"/>
      <c r="E28" s="46"/>
    </row>
    <row r="29" customFormat="false" ht="15" hidden="false" customHeight="true" outlineLevel="0" collapsed="false">
      <c r="A29" s="46"/>
      <c r="B29" s="46"/>
      <c r="C29" s="46"/>
      <c r="D29" s="46"/>
      <c r="E29" s="46"/>
    </row>
    <row r="30" customFormat="false" ht="15" hidden="false" customHeight="true" outlineLevel="0" collapsed="false">
      <c r="A30" s="117" t="s">
        <v>1356</v>
      </c>
      <c r="B30" s="330"/>
      <c r="C30" s="330"/>
      <c r="D30" s="330"/>
      <c r="E30" s="330"/>
    </row>
    <row r="31" customFormat="false" ht="20.25" hidden="false" customHeight="true" outlineLevel="0" collapsed="false">
      <c r="A31" s="54" t="s">
        <v>1357</v>
      </c>
      <c r="B31" s="103" t="s">
        <v>1358</v>
      </c>
      <c r="C31" s="65" t="s">
        <v>1359</v>
      </c>
      <c r="D31" s="60" t="n">
        <v>133</v>
      </c>
      <c r="E31" s="60" t="n">
        <v>230</v>
      </c>
    </row>
    <row r="32" customFormat="false" ht="20.25" hidden="false" customHeight="true" outlineLevel="0" collapsed="false">
      <c r="A32" s="54" t="s">
        <v>1360</v>
      </c>
      <c r="B32" s="103" t="s">
        <v>1361</v>
      </c>
      <c r="C32" s="65" t="s">
        <v>128</v>
      </c>
      <c r="D32" s="60" t="n">
        <v>3</v>
      </c>
      <c r="E32" s="60" t="n">
        <v>5</v>
      </c>
    </row>
    <row r="33" customFormat="false" ht="15" hidden="false" customHeight="true" outlineLevel="0" collapsed="false">
      <c r="A33" s="54" t="s">
        <v>1362</v>
      </c>
      <c r="B33" s="103" t="s">
        <v>1363</v>
      </c>
      <c r="C33" s="65" t="s">
        <v>1364</v>
      </c>
      <c r="D33" s="60" t="n">
        <v>9</v>
      </c>
      <c r="E33" s="60" t="n">
        <v>15</v>
      </c>
    </row>
    <row r="34" customFormat="false" ht="15" hidden="false" customHeight="true" outlineLevel="0" collapsed="false">
      <c r="A34" s="54" t="s">
        <v>1365</v>
      </c>
      <c r="B34" s="103" t="s">
        <v>1366</v>
      </c>
      <c r="C34" s="65" t="s">
        <v>1367</v>
      </c>
      <c r="D34" s="60" t="n">
        <v>6</v>
      </c>
      <c r="E34" s="60" t="n">
        <v>11</v>
      </c>
    </row>
    <row r="35" customFormat="false" ht="15" hidden="false" customHeight="true" outlineLevel="0" collapsed="false">
      <c r="A35" s="54" t="s">
        <v>1368</v>
      </c>
      <c r="B35" s="103" t="s">
        <v>1369</v>
      </c>
      <c r="C35" s="65" t="s">
        <v>1370</v>
      </c>
      <c r="D35" s="60" t="n">
        <v>5</v>
      </c>
      <c r="E35" s="60" t="n">
        <v>8</v>
      </c>
    </row>
    <row r="36" customFormat="false" ht="15" hidden="false" customHeight="true" outlineLevel="0" collapsed="false">
      <c r="A36" s="54" t="s">
        <v>1371</v>
      </c>
      <c r="B36" s="103" t="s">
        <v>1372</v>
      </c>
      <c r="C36" s="65" t="s">
        <v>1373</v>
      </c>
      <c r="D36" s="60" t="n">
        <v>14</v>
      </c>
      <c r="E36" s="60" t="n">
        <v>25</v>
      </c>
    </row>
    <row r="37" customFormat="false" ht="15" hidden="false" customHeight="true" outlineLevel="0" collapsed="false">
      <c r="A37" s="54" t="s">
        <v>1374</v>
      </c>
      <c r="B37" s="103" t="s">
        <v>1375</v>
      </c>
      <c r="C37" s="65" t="s">
        <v>1376</v>
      </c>
      <c r="D37" s="60" t="n">
        <v>1</v>
      </c>
      <c r="E37" s="60" t="n">
        <v>2</v>
      </c>
    </row>
    <row r="38" customFormat="false" ht="15" hidden="false" customHeight="true" outlineLevel="0" collapsed="false">
      <c r="A38" s="54" t="s">
        <v>1377</v>
      </c>
      <c r="B38" s="103" t="s">
        <v>1378</v>
      </c>
      <c r="C38" s="65" t="s">
        <v>1379</v>
      </c>
      <c r="D38" s="60" t="n">
        <v>8</v>
      </c>
      <c r="E38" s="60" t="n">
        <v>13</v>
      </c>
    </row>
    <row r="39" customFormat="false" ht="15" hidden="false" customHeight="true" outlineLevel="0" collapsed="false">
      <c r="A39" s="54" t="s">
        <v>1312</v>
      </c>
      <c r="B39" s="103" t="s">
        <v>1313</v>
      </c>
      <c r="C39" s="65" t="s">
        <v>1314</v>
      </c>
      <c r="D39" s="60" t="n">
        <v>2</v>
      </c>
      <c r="E39" s="60" t="n">
        <v>3</v>
      </c>
    </row>
    <row r="40" customFormat="false" ht="15" hidden="false" customHeight="true" outlineLevel="0" collapsed="false">
      <c r="A40" s="54" t="s">
        <v>1380</v>
      </c>
      <c r="B40" s="103" t="s">
        <v>1381</v>
      </c>
      <c r="C40" s="65" t="s">
        <v>1317</v>
      </c>
      <c r="D40" s="60" t="n">
        <v>1</v>
      </c>
      <c r="E40" s="60" t="n">
        <v>2</v>
      </c>
    </row>
    <row r="41" customFormat="false" ht="15" hidden="false" customHeight="true" outlineLevel="0" collapsed="false">
      <c r="A41" s="54" t="s">
        <v>1382</v>
      </c>
      <c r="B41" s="103" t="s">
        <v>1383</v>
      </c>
      <c r="C41" s="65" t="s">
        <v>128</v>
      </c>
      <c r="D41" s="60" t="n">
        <v>2</v>
      </c>
      <c r="E41" s="60" t="n">
        <v>4</v>
      </c>
    </row>
    <row r="42" customFormat="false" ht="15" hidden="false" customHeight="true" outlineLevel="0" collapsed="false">
      <c r="A42" s="54" t="s">
        <v>1384</v>
      </c>
      <c r="B42" s="103" t="s">
        <v>1385</v>
      </c>
      <c r="C42" s="65" t="s">
        <v>1386</v>
      </c>
      <c r="D42" s="60" t="n">
        <v>14</v>
      </c>
      <c r="E42" s="60" t="n">
        <v>25</v>
      </c>
    </row>
    <row r="43" customFormat="false" ht="15" hidden="false" customHeight="true" outlineLevel="0" collapsed="false">
      <c r="A43" s="54" t="s">
        <v>1387</v>
      </c>
      <c r="B43" s="103" t="s">
        <v>1388</v>
      </c>
      <c r="C43" s="65" t="s">
        <v>1389</v>
      </c>
      <c r="D43" s="60" t="n">
        <v>17</v>
      </c>
      <c r="E43" s="60" t="n">
        <v>30</v>
      </c>
    </row>
    <row r="44" customFormat="false" ht="15" hidden="false" customHeight="true" outlineLevel="0" collapsed="false">
      <c r="A44" s="54" t="s">
        <v>1390</v>
      </c>
      <c r="B44" s="103" t="s">
        <v>1391</v>
      </c>
      <c r="C44" s="65" t="s">
        <v>1392</v>
      </c>
      <c r="D44" s="60" t="n">
        <v>5</v>
      </c>
      <c r="E44" s="60" t="n">
        <v>8</v>
      </c>
    </row>
    <row r="45" customFormat="false" ht="15" hidden="false" customHeight="true" outlineLevel="0" collapsed="false">
      <c r="A45" s="54" t="s">
        <v>1393</v>
      </c>
      <c r="B45" s="103" t="s">
        <v>1394</v>
      </c>
      <c r="C45" s="65" t="s">
        <v>128</v>
      </c>
      <c r="D45" s="60" t="n">
        <v>81</v>
      </c>
      <c r="E45" s="60" t="n">
        <v>140</v>
      </c>
    </row>
    <row r="46" customFormat="false" ht="15" hidden="false" customHeight="true" outlineLevel="0" collapsed="false">
      <c r="A46" s="54" t="s">
        <v>1395</v>
      </c>
      <c r="B46" s="103" t="s">
        <v>1329</v>
      </c>
      <c r="C46" s="65" t="s">
        <v>128</v>
      </c>
      <c r="D46" s="60" t="n">
        <v>29</v>
      </c>
      <c r="E46" s="60" t="n">
        <v>50</v>
      </c>
    </row>
    <row r="47" customFormat="false" ht="15" hidden="false" customHeight="true" outlineLevel="0" collapsed="false">
      <c r="A47" s="54" t="s">
        <v>1396</v>
      </c>
      <c r="B47" s="103" t="s">
        <v>1397</v>
      </c>
      <c r="C47" s="65" t="s">
        <v>128</v>
      </c>
      <c r="D47" s="60" t="n">
        <v>22</v>
      </c>
      <c r="E47" s="60" t="n">
        <v>38</v>
      </c>
    </row>
    <row r="48" customFormat="false" ht="15" hidden="false" customHeight="true" outlineLevel="0" collapsed="false">
      <c r="A48" s="54" t="s">
        <v>1398</v>
      </c>
      <c r="B48" s="103" t="s">
        <v>1399</v>
      </c>
      <c r="C48" s="65" t="s">
        <v>128</v>
      </c>
      <c r="D48" s="60" t="n">
        <v>20</v>
      </c>
      <c r="E48" s="60" t="n">
        <v>35</v>
      </c>
    </row>
    <row r="49" customFormat="false" ht="15" hidden="false" customHeight="true" outlineLevel="0" collapsed="false">
      <c r="A49" s="54" t="s">
        <v>1400</v>
      </c>
      <c r="B49" s="103" t="s">
        <v>1401</v>
      </c>
      <c r="C49" s="65" t="s">
        <v>128</v>
      </c>
      <c r="D49" s="60" t="n">
        <v>17</v>
      </c>
      <c r="E49" s="60" t="n">
        <v>30</v>
      </c>
    </row>
    <row r="50" customFormat="false" ht="15" hidden="false" customHeight="true" outlineLevel="0" collapsed="false">
      <c r="A50" s="54" t="s">
        <v>1402</v>
      </c>
      <c r="B50" s="103" t="s">
        <v>1340</v>
      </c>
      <c r="C50" s="65" t="s">
        <v>128</v>
      </c>
      <c r="D50" s="60" t="n">
        <v>5</v>
      </c>
      <c r="E50" s="60" t="n">
        <v>9</v>
      </c>
    </row>
    <row r="51" customFormat="false" ht="15" hidden="false" customHeight="true" outlineLevel="0" collapsed="false">
      <c r="A51" s="54" t="s">
        <v>1403</v>
      </c>
      <c r="B51" s="103" t="s">
        <v>1404</v>
      </c>
      <c r="C51" s="65" t="s">
        <v>128</v>
      </c>
      <c r="D51" s="60" t="n">
        <v>17</v>
      </c>
      <c r="E51" s="60" t="n">
        <v>30</v>
      </c>
    </row>
    <row r="52" customFormat="false" ht="15" hidden="false" customHeight="true" outlineLevel="0" collapsed="false">
      <c r="A52" s="54" t="s">
        <v>1405</v>
      </c>
      <c r="B52" s="103" t="s">
        <v>1406</v>
      </c>
      <c r="C52" s="65" t="s">
        <v>128</v>
      </c>
      <c r="D52" s="60" t="n">
        <v>3</v>
      </c>
      <c r="E52" s="60" t="n">
        <v>5</v>
      </c>
    </row>
    <row r="53" customFormat="false" ht="15" hidden="false" customHeight="true" outlineLevel="0" collapsed="false">
      <c r="A53" s="54" t="s">
        <v>1330</v>
      </c>
      <c r="B53" s="103" t="s">
        <v>1407</v>
      </c>
      <c r="C53" s="65" t="s">
        <v>1408</v>
      </c>
      <c r="D53" s="60" t="n">
        <v>1</v>
      </c>
      <c r="E53" s="60" t="n">
        <v>1</v>
      </c>
    </row>
    <row r="54" customFormat="false" ht="15" hidden="false" customHeight="true" outlineLevel="0" collapsed="false">
      <c r="A54" s="54" t="s">
        <v>1409</v>
      </c>
      <c r="B54" s="103" t="s">
        <v>1410</v>
      </c>
      <c r="C54" s="65" t="s">
        <v>1411</v>
      </c>
      <c r="D54" s="60" t="n">
        <v>5</v>
      </c>
      <c r="E54" s="60" t="n">
        <v>8</v>
      </c>
    </row>
    <row r="55" customFormat="false" ht="15" hidden="false" customHeight="true" outlineLevel="0" collapsed="false">
      <c r="A55" s="54" t="s">
        <v>1321</v>
      </c>
      <c r="B55" s="103" t="s">
        <v>1412</v>
      </c>
      <c r="C55" s="65" t="s">
        <v>1408</v>
      </c>
      <c r="D55" s="60" t="n">
        <v>1</v>
      </c>
      <c r="E55" s="60" t="n">
        <v>2</v>
      </c>
    </row>
    <row r="56" customFormat="false" ht="15" hidden="false" customHeight="true" outlineLevel="0" collapsed="false">
      <c r="A56" s="54" t="s">
        <v>1345</v>
      </c>
      <c r="B56" s="103" t="s">
        <v>1413</v>
      </c>
      <c r="C56" s="65" t="s">
        <v>128</v>
      </c>
      <c r="D56" s="60" t="n">
        <v>9</v>
      </c>
      <c r="E56" s="60" t="n">
        <v>15</v>
      </c>
    </row>
    <row r="57" customFormat="false" ht="15" hidden="false" customHeight="true" outlineLevel="0" collapsed="false">
      <c r="A57" s="54" t="s">
        <v>1343</v>
      </c>
      <c r="B57" s="103" t="s">
        <v>1414</v>
      </c>
      <c r="C57" s="65" t="s">
        <v>128</v>
      </c>
      <c r="D57" s="60" t="n">
        <v>5</v>
      </c>
      <c r="E57" s="60" t="n">
        <v>8</v>
      </c>
    </row>
    <row r="58" customFormat="false" ht="15" hidden="false" customHeight="true" outlineLevel="0" collapsed="false">
      <c r="A58" s="54" t="s">
        <v>1415</v>
      </c>
      <c r="B58" s="103" t="s">
        <v>1416</v>
      </c>
      <c r="C58" s="65" t="s">
        <v>128</v>
      </c>
      <c r="D58" s="60" t="n">
        <v>14</v>
      </c>
      <c r="E58" s="60" t="n">
        <v>25</v>
      </c>
    </row>
    <row r="59" customFormat="false" ht="15" hidden="false" customHeight="true" outlineLevel="0" collapsed="false">
      <c r="A59" s="54" t="s">
        <v>1417</v>
      </c>
      <c r="B59" s="103" t="s">
        <v>1418</v>
      </c>
      <c r="C59" s="65" t="s">
        <v>128</v>
      </c>
      <c r="D59" s="60" t="n">
        <v>10</v>
      </c>
      <c r="E59" s="60" t="n">
        <v>17</v>
      </c>
    </row>
    <row r="60" customFormat="false" ht="15" hidden="false" customHeight="true" outlineLevel="0" collapsed="false">
      <c r="A60" s="54" t="s">
        <v>1419</v>
      </c>
      <c r="B60" s="103" t="s">
        <v>1420</v>
      </c>
      <c r="C60" s="65" t="s">
        <v>128</v>
      </c>
      <c r="D60" s="60" t="n">
        <v>5</v>
      </c>
      <c r="E60" s="60" t="n">
        <v>8</v>
      </c>
    </row>
    <row r="61" customFormat="false" ht="15" hidden="false" customHeight="true" outlineLevel="0" collapsed="false">
      <c r="A61" s="54" t="s">
        <v>1421</v>
      </c>
      <c r="B61" s="103" t="s">
        <v>1422</v>
      </c>
      <c r="C61" s="65" t="s">
        <v>128</v>
      </c>
      <c r="D61" s="60" t="n">
        <v>26</v>
      </c>
      <c r="E61" s="60" t="n">
        <v>45</v>
      </c>
    </row>
    <row r="62" customFormat="false" ht="15" hidden="false" customHeight="true" outlineLevel="0" collapsed="false">
      <c r="A62" s="54" t="s">
        <v>1423</v>
      </c>
      <c r="B62" s="103" t="s">
        <v>1424</v>
      </c>
      <c r="C62" s="65" t="s">
        <v>1425</v>
      </c>
      <c r="D62" s="60" t="n">
        <v>5</v>
      </c>
      <c r="E62" s="60" t="n">
        <v>9</v>
      </c>
    </row>
    <row r="63" customFormat="false" ht="15" hidden="false" customHeight="true" outlineLevel="0" collapsed="false">
      <c r="A63" s="54" t="s">
        <v>1426</v>
      </c>
      <c r="B63" s="103" t="s">
        <v>1427</v>
      </c>
      <c r="C63" s="65" t="s">
        <v>128</v>
      </c>
      <c r="D63" s="60" t="n">
        <v>7</v>
      </c>
      <c r="E63" s="60" t="n">
        <v>12</v>
      </c>
    </row>
    <row r="64" customFormat="false" ht="15" hidden="false" customHeight="true" outlineLevel="0" collapsed="false">
      <c r="A64" s="54" t="s">
        <v>1428</v>
      </c>
      <c r="B64" s="103" t="s">
        <v>1429</v>
      </c>
      <c r="C64" s="65" t="s">
        <v>128</v>
      </c>
      <c r="D64" s="60" t="n">
        <v>1</v>
      </c>
      <c r="E64" s="60" t="n">
        <v>2</v>
      </c>
    </row>
    <row r="65" customFormat="false" ht="15" hidden="false" customHeight="true" outlineLevel="0" collapsed="false">
      <c r="A65" s="350" t="s">
        <v>1351</v>
      </c>
      <c r="B65" s="352"/>
      <c r="C65" s="352"/>
      <c r="D65" s="360" t="n">
        <f aca="false">SUM(D31:D64)</f>
        <v>503</v>
      </c>
      <c r="E65" s="360" t="n">
        <f aca="false">SUM(E31:E64)</f>
        <v>870</v>
      </c>
    </row>
    <row r="66" customFormat="false" ht="15" hidden="false" customHeight="true" outlineLevel="0" collapsed="false">
      <c r="A66" s="54" t="s">
        <v>1352</v>
      </c>
      <c r="B66" s="329"/>
      <c r="C66" s="329"/>
      <c r="D66" s="60" t="n">
        <v>70</v>
      </c>
      <c r="E66" s="60" t="n">
        <v>100</v>
      </c>
    </row>
    <row r="67" customFormat="false" ht="15" hidden="false" customHeight="true" outlineLevel="0" collapsed="false">
      <c r="A67" s="117" t="s">
        <v>1353</v>
      </c>
      <c r="B67" s="330"/>
      <c r="C67" s="330"/>
      <c r="D67" s="361" t="n">
        <f aca="false">D65+D66</f>
        <v>573</v>
      </c>
      <c r="E67" s="361" t="n">
        <f aca="false">E65+E66</f>
        <v>970</v>
      </c>
    </row>
    <row r="68" customFormat="false" ht="15" hidden="false" customHeight="true" outlineLevel="0" collapsed="false">
      <c r="A68" s="362" t="s">
        <v>1354</v>
      </c>
      <c r="B68" s="363"/>
      <c r="C68" s="363"/>
      <c r="D68" s="363"/>
      <c r="E68" s="364" t="n">
        <v>600</v>
      </c>
    </row>
    <row r="69" customFormat="false" ht="27.75" hidden="false" customHeight="true" outlineLevel="0" collapsed="false">
      <c r="A69" s="47" t="s">
        <v>1355</v>
      </c>
      <c r="B69" s="46"/>
      <c r="C69" s="46"/>
      <c r="D69" s="46"/>
      <c r="E69" s="46"/>
    </row>
    <row r="70" customFormat="false" ht="15" hidden="false" customHeight="true" outlineLevel="0" collapsed="false">
      <c r="A70" s="46"/>
      <c r="B70" s="46"/>
      <c r="C70" s="46"/>
      <c r="D70" s="46"/>
      <c r="E70" s="46"/>
    </row>
    <row r="71" customFormat="false" ht="15" hidden="false" customHeight="true" outlineLevel="0" collapsed="false">
      <c r="A71" s="117" t="s">
        <v>1430</v>
      </c>
      <c r="B71" s="330"/>
      <c r="C71" s="330"/>
      <c r="D71" s="330"/>
      <c r="E71" s="330"/>
    </row>
    <row r="72" customFormat="false" ht="15" hidden="false" customHeight="true" outlineLevel="0" collapsed="false">
      <c r="A72" s="54" t="s">
        <v>1431</v>
      </c>
      <c r="B72" s="103" t="s">
        <v>1432</v>
      </c>
      <c r="C72" s="65" t="s">
        <v>128</v>
      </c>
      <c r="D72" s="60" t="n">
        <v>3</v>
      </c>
      <c r="E72" s="60" t="n">
        <v>5</v>
      </c>
    </row>
    <row r="73" customFormat="false" ht="20.25" hidden="false" customHeight="true" outlineLevel="0" collapsed="false">
      <c r="A73" s="54" t="s">
        <v>1433</v>
      </c>
      <c r="B73" s="103" t="s">
        <v>1434</v>
      </c>
      <c r="C73" s="65" t="s">
        <v>1392</v>
      </c>
      <c r="D73" s="60" t="n">
        <v>70</v>
      </c>
      <c r="E73" s="60" t="n">
        <v>120</v>
      </c>
    </row>
    <row r="74" customFormat="false" ht="15" hidden="false" customHeight="true" outlineLevel="0" collapsed="false">
      <c r="A74" s="54" t="s">
        <v>1435</v>
      </c>
      <c r="B74" s="103" t="s">
        <v>1436</v>
      </c>
      <c r="C74" s="65" t="s">
        <v>1437</v>
      </c>
      <c r="D74" s="60" t="n">
        <v>14</v>
      </c>
      <c r="E74" s="60" t="n">
        <v>25</v>
      </c>
    </row>
    <row r="75" customFormat="false" ht="15" hidden="false" customHeight="true" outlineLevel="0" collapsed="false">
      <c r="A75" s="54" t="s">
        <v>1438</v>
      </c>
      <c r="B75" s="103" t="s">
        <v>1439</v>
      </c>
      <c r="C75" s="65" t="s">
        <v>128</v>
      </c>
      <c r="D75" s="60" t="n">
        <v>3</v>
      </c>
      <c r="E75" s="60" t="n">
        <v>6</v>
      </c>
    </row>
    <row r="76" customFormat="false" ht="15" hidden="false" customHeight="true" outlineLevel="0" collapsed="false">
      <c r="A76" s="54" t="s">
        <v>1440</v>
      </c>
      <c r="B76" s="103" t="s">
        <v>1441</v>
      </c>
      <c r="C76" s="65" t="s">
        <v>128</v>
      </c>
      <c r="D76" s="60" t="n">
        <v>9</v>
      </c>
      <c r="E76" s="60" t="n">
        <v>16</v>
      </c>
    </row>
    <row r="77" customFormat="false" ht="15" hidden="false" customHeight="true" outlineLevel="0" collapsed="false">
      <c r="A77" s="54" t="s">
        <v>1442</v>
      </c>
      <c r="B77" s="103" t="s">
        <v>1397</v>
      </c>
      <c r="C77" s="65" t="s">
        <v>128</v>
      </c>
      <c r="D77" s="60" t="n">
        <v>5</v>
      </c>
      <c r="E77" s="60" t="n">
        <v>9</v>
      </c>
    </row>
    <row r="78" customFormat="false" ht="15" hidden="false" customHeight="true" outlineLevel="0" collapsed="false">
      <c r="A78" s="54" t="s">
        <v>1443</v>
      </c>
      <c r="B78" s="103" t="s">
        <v>1336</v>
      </c>
      <c r="C78" s="65" t="s">
        <v>128</v>
      </c>
      <c r="D78" s="60" t="n">
        <v>12</v>
      </c>
      <c r="E78" s="60" t="n">
        <v>20</v>
      </c>
    </row>
    <row r="79" customFormat="false" ht="15" hidden="false" customHeight="true" outlineLevel="0" collapsed="false">
      <c r="A79" s="54" t="s">
        <v>1444</v>
      </c>
      <c r="B79" s="103" t="s">
        <v>1445</v>
      </c>
      <c r="C79" s="65" t="s">
        <v>128</v>
      </c>
      <c r="D79" s="60" t="n">
        <v>10</v>
      </c>
      <c r="E79" s="60" t="n">
        <v>18</v>
      </c>
    </row>
    <row r="80" customFormat="false" ht="15" hidden="false" customHeight="true" outlineLevel="0" collapsed="false">
      <c r="A80" s="54" t="s">
        <v>1446</v>
      </c>
      <c r="B80" s="103" t="s">
        <v>1447</v>
      </c>
      <c r="C80" s="65" t="s">
        <v>1408</v>
      </c>
      <c r="D80" s="60" t="n">
        <v>2</v>
      </c>
      <c r="E80" s="60" t="n">
        <v>3</v>
      </c>
    </row>
    <row r="81" customFormat="false" ht="15" hidden="false" customHeight="true" outlineLevel="0" collapsed="false">
      <c r="A81" s="350" t="s">
        <v>1351</v>
      </c>
      <c r="B81" s="352"/>
      <c r="C81" s="352"/>
      <c r="D81" s="360" t="n">
        <f aca="false">SUM(D72:D80)</f>
        <v>128</v>
      </c>
      <c r="E81" s="360" t="n">
        <f aca="false">SUM(E72:E80)</f>
        <v>222</v>
      </c>
    </row>
    <row r="82" customFormat="false" ht="15" hidden="false" customHeight="true" outlineLevel="0" collapsed="false">
      <c r="A82" s="54" t="s">
        <v>1352</v>
      </c>
      <c r="B82" s="329"/>
      <c r="C82" s="329"/>
      <c r="D82" s="60" t="n">
        <v>31</v>
      </c>
      <c r="E82" s="60" t="n">
        <v>45</v>
      </c>
    </row>
    <row r="83" customFormat="false" ht="15" hidden="false" customHeight="true" outlineLevel="0" collapsed="false">
      <c r="A83" s="117" t="s">
        <v>1353</v>
      </c>
      <c r="B83" s="330"/>
      <c r="C83" s="330"/>
      <c r="D83" s="361" t="n">
        <f aca="false">D81+D82</f>
        <v>159</v>
      </c>
      <c r="E83" s="361" t="n">
        <f aca="false">E81+E82</f>
        <v>267</v>
      </c>
    </row>
    <row r="84" customFormat="false" ht="15" hidden="false" customHeight="true" outlineLevel="0" collapsed="false">
      <c r="A84" s="362" t="s">
        <v>1354</v>
      </c>
      <c r="B84" s="363"/>
      <c r="C84" s="363"/>
      <c r="D84" s="363"/>
      <c r="E84" s="364" t="n">
        <v>175</v>
      </c>
    </row>
    <row r="85" customFormat="false" ht="27.75" hidden="false" customHeight="true" outlineLevel="0" collapsed="false">
      <c r="A85" s="47" t="s">
        <v>1355</v>
      </c>
      <c r="B85" s="46"/>
      <c r="C85" s="46"/>
      <c r="D85" s="46"/>
      <c r="E85" s="46"/>
    </row>
    <row r="86" customFormat="false" ht="15" hidden="false" customHeight="true" outlineLevel="0" collapsed="false">
      <c r="A86" s="46"/>
      <c r="B86" s="46"/>
      <c r="C86" s="46"/>
      <c r="D86" s="46"/>
      <c r="E86" s="46"/>
    </row>
    <row r="87" customFormat="false" ht="15" hidden="false" customHeight="true" outlineLevel="0" collapsed="false">
      <c r="A87" s="117" t="s">
        <v>1448</v>
      </c>
      <c r="B87" s="330"/>
      <c r="C87" s="330"/>
      <c r="D87" s="330"/>
      <c r="E87" s="330"/>
    </row>
    <row r="88" customFormat="false" ht="20.25" hidden="false" customHeight="true" outlineLevel="0" collapsed="false">
      <c r="A88" s="54" t="s">
        <v>1449</v>
      </c>
      <c r="B88" s="103" t="s">
        <v>1450</v>
      </c>
      <c r="C88" s="65" t="s">
        <v>1451</v>
      </c>
      <c r="D88" s="60" t="n">
        <v>144</v>
      </c>
      <c r="E88" s="60" t="n">
        <v>249</v>
      </c>
    </row>
    <row r="89" customFormat="false" ht="15" hidden="false" customHeight="true" outlineLevel="0" collapsed="false">
      <c r="A89" s="54" t="s">
        <v>1452</v>
      </c>
      <c r="B89" s="103" t="s">
        <v>1453</v>
      </c>
      <c r="C89" s="65" t="s">
        <v>1454</v>
      </c>
      <c r="D89" s="60" t="n">
        <v>23</v>
      </c>
      <c r="E89" s="60" t="n">
        <v>40</v>
      </c>
    </row>
    <row r="90" customFormat="false" ht="15" hidden="false" customHeight="true" outlineLevel="0" collapsed="false">
      <c r="A90" s="54" t="s">
        <v>1455</v>
      </c>
      <c r="B90" s="103" t="s">
        <v>1456</v>
      </c>
      <c r="C90" s="65" t="s">
        <v>128</v>
      </c>
      <c r="D90" s="60" t="n">
        <v>3</v>
      </c>
      <c r="E90" s="60" t="n">
        <v>5</v>
      </c>
    </row>
    <row r="91" customFormat="false" ht="15" hidden="false" customHeight="true" outlineLevel="0" collapsed="false">
      <c r="A91" s="54" t="s">
        <v>1457</v>
      </c>
      <c r="B91" s="103" t="s">
        <v>1458</v>
      </c>
      <c r="C91" s="65" t="s">
        <v>1459</v>
      </c>
      <c r="D91" s="60" t="n">
        <v>28</v>
      </c>
      <c r="E91" s="60" t="n">
        <v>48</v>
      </c>
    </row>
    <row r="92" customFormat="false" ht="15" hidden="false" customHeight="true" outlineLevel="0" collapsed="false">
      <c r="A92" s="54" t="s">
        <v>1365</v>
      </c>
      <c r="B92" s="103" t="s">
        <v>1460</v>
      </c>
      <c r="C92" s="65" t="s">
        <v>1367</v>
      </c>
      <c r="D92" s="60" t="n">
        <v>3</v>
      </c>
      <c r="E92" s="60" t="n">
        <v>6</v>
      </c>
    </row>
    <row r="93" customFormat="false" ht="15" hidden="false" customHeight="true" outlineLevel="0" collapsed="false">
      <c r="A93" s="54" t="s">
        <v>1461</v>
      </c>
      <c r="B93" s="103" t="s">
        <v>1462</v>
      </c>
      <c r="C93" s="65" t="s">
        <v>1463</v>
      </c>
      <c r="D93" s="60" t="n">
        <v>14</v>
      </c>
      <c r="E93" s="60" t="n">
        <v>25</v>
      </c>
    </row>
    <row r="94" customFormat="false" ht="15" hidden="false" customHeight="true" outlineLevel="0" collapsed="false">
      <c r="A94" s="54" t="s">
        <v>1464</v>
      </c>
      <c r="B94" s="103" t="s">
        <v>1465</v>
      </c>
      <c r="C94" s="65" t="s">
        <v>1466</v>
      </c>
      <c r="D94" s="60" t="n">
        <v>5</v>
      </c>
      <c r="E94" s="60" t="n">
        <v>8</v>
      </c>
    </row>
    <row r="95" customFormat="false" ht="15" hidden="false" customHeight="true" outlineLevel="0" collapsed="false">
      <c r="A95" s="54" t="s">
        <v>1467</v>
      </c>
      <c r="B95" s="103" t="s">
        <v>1468</v>
      </c>
      <c r="C95" s="65" t="s">
        <v>1373</v>
      </c>
      <c r="D95" s="60" t="n">
        <v>14</v>
      </c>
      <c r="E95" s="60" t="n">
        <v>25</v>
      </c>
    </row>
    <row r="96" customFormat="false" ht="15" hidden="false" customHeight="true" outlineLevel="0" collapsed="false">
      <c r="A96" s="54" t="s">
        <v>1469</v>
      </c>
      <c r="B96" s="103" t="s">
        <v>1470</v>
      </c>
      <c r="C96" s="65" t="s">
        <v>1471</v>
      </c>
      <c r="D96" s="60" t="n">
        <v>87</v>
      </c>
      <c r="E96" s="60" t="n">
        <v>150</v>
      </c>
    </row>
    <row r="97" customFormat="false" ht="15" hidden="false" customHeight="true" outlineLevel="0" collapsed="false">
      <c r="A97" s="54" t="s">
        <v>1472</v>
      </c>
      <c r="B97" s="103" t="s">
        <v>1473</v>
      </c>
      <c r="C97" s="65" t="s">
        <v>128</v>
      </c>
      <c r="D97" s="60" t="n">
        <v>1</v>
      </c>
      <c r="E97" s="60" t="n">
        <v>2</v>
      </c>
    </row>
    <row r="98" customFormat="false" ht="15" hidden="false" customHeight="true" outlineLevel="0" collapsed="false">
      <c r="A98" s="54" t="s">
        <v>1382</v>
      </c>
      <c r="B98" s="103" t="s">
        <v>1474</v>
      </c>
      <c r="C98" s="65" t="s">
        <v>128</v>
      </c>
      <c r="D98" s="60" t="n">
        <v>2</v>
      </c>
      <c r="E98" s="60" t="n">
        <v>4</v>
      </c>
    </row>
    <row r="99" customFormat="false" ht="15" hidden="false" customHeight="true" outlineLevel="0" collapsed="false">
      <c r="A99" s="54" t="s">
        <v>1475</v>
      </c>
      <c r="B99" s="103" t="s">
        <v>1476</v>
      </c>
      <c r="C99" s="65" t="s">
        <v>1477</v>
      </c>
      <c r="D99" s="60" t="n">
        <v>6</v>
      </c>
      <c r="E99" s="60" t="n">
        <v>10</v>
      </c>
    </row>
    <row r="100" customFormat="false" ht="15" hidden="false" customHeight="true" outlineLevel="0" collapsed="false">
      <c r="A100" s="54" t="s">
        <v>1478</v>
      </c>
      <c r="B100" s="103" t="s">
        <v>1479</v>
      </c>
      <c r="C100" s="65" t="s">
        <v>1379</v>
      </c>
      <c r="D100" s="60" t="n">
        <v>8</v>
      </c>
      <c r="E100" s="60" t="n">
        <v>13</v>
      </c>
    </row>
    <row r="101" customFormat="false" ht="15" hidden="false" customHeight="true" outlineLevel="0" collapsed="false">
      <c r="A101" s="54" t="s">
        <v>1480</v>
      </c>
      <c r="B101" s="103" t="s">
        <v>1481</v>
      </c>
      <c r="C101" s="65" t="s">
        <v>1477</v>
      </c>
      <c r="D101" s="60" t="n">
        <v>10</v>
      </c>
      <c r="E101" s="60" t="n">
        <v>18</v>
      </c>
    </row>
    <row r="102" customFormat="false" ht="15" hidden="false" customHeight="true" outlineLevel="0" collapsed="false">
      <c r="A102" s="54" t="s">
        <v>1482</v>
      </c>
      <c r="B102" s="103" t="s">
        <v>1483</v>
      </c>
      <c r="C102" s="65" t="s">
        <v>1484</v>
      </c>
      <c r="D102" s="60" t="n">
        <v>26</v>
      </c>
      <c r="E102" s="60" t="n">
        <v>45</v>
      </c>
    </row>
    <row r="103" customFormat="false" ht="15" hidden="false" customHeight="true" outlineLevel="0" collapsed="false">
      <c r="A103" s="54" t="s">
        <v>1485</v>
      </c>
      <c r="B103" s="103" t="s">
        <v>1486</v>
      </c>
      <c r="C103" s="65" t="s">
        <v>1392</v>
      </c>
      <c r="D103" s="60" t="n">
        <v>35</v>
      </c>
      <c r="E103" s="60" t="n">
        <v>60</v>
      </c>
    </row>
    <row r="104" customFormat="false" ht="15" hidden="false" customHeight="true" outlineLevel="0" collapsed="false">
      <c r="A104" s="54" t="s">
        <v>1390</v>
      </c>
      <c r="B104" s="103" t="s">
        <v>1391</v>
      </c>
      <c r="C104" s="65" t="s">
        <v>1392</v>
      </c>
      <c r="D104" s="60" t="n">
        <v>6</v>
      </c>
      <c r="E104" s="60" t="n">
        <v>10</v>
      </c>
    </row>
    <row r="105" customFormat="false" ht="15" hidden="false" customHeight="true" outlineLevel="0" collapsed="false">
      <c r="A105" s="54" t="s">
        <v>1487</v>
      </c>
      <c r="B105" s="103" t="s">
        <v>1488</v>
      </c>
      <c r="C105" s="65" t="s">
        <v>1389</v>
      </c>
      <c r="D105" s="60" t="n">
        <v>44</v>
      </c>
      <c r="E105" s="60" t="n">
        <v>75</v>
      </c>
    </row>
    <row r="106" customFormat="false" ht="15" hidden="false" customHeight="true" outlineLevel="0" collapsed="false">
      <c r="A106" s="54" t="s">
        <v>1368</v>
      </c>
      <c r="B106" s="103" t="s">
        <v>1489</v>
      </c>
      <c r="C106" s="65" t="s">
        <v>1370</v>
      </c>
      <c r="D106" s="60" t="n">
        <v>2</v>
      </c>
      <c r="E106" s="60" t="n">
        <v>4</v>
      </c>
    </row>
    <row r="107" customFormat="false" ht="15" hidden="false" customHeight="true" outlineLevel="0" collapsed="false">
      <c r="A107" s="54" t="s">
        <v>1387</v>
      </c>
      <c r="B107" s="103" t="s">
        <v>1490</v>
      </c>
      <c r="C107" s="65" t="s">
        <v>1389</v>
      </c>
      <c r="D107" s="60" t="n">
        <v>17</v>
      </c>
      <c r="E107" s="60" t="n">
        <v>30</v>
      </c>
    </row>
    <row r="108" customFormat="false" ht="15" hidden="false" customHeight="true" outlineLevel="0" collapsed="false">
      <c r="A108" s="54" t="s">
        <v>1491</v>
      </c>
      <c r="B108" s="103" t="s">
        <v>1492</v>
      </c>
      <c r="C108" s="65" t="s">
        <v>128</v>
      </c>
      <c r="D108" s="60" t="n">
        <v>116</v>
      </c>
      <c r="E108" s="60" t="n">
        <v>200</v>
      </c>
    </row>
    <row r="109" customFormat="false" ht="15" hidden="false" customHeight="true" outlineLevel="0" collapsed="false">
      <c r="A109" s="54" t="s">
        <v>1493</v>
      </c>
      <c r="B109" s="103" t="s">
        <v>1329</v>
      </c>
      <c r="C109" s="65" t="s">
        <v>128</v>
      </c>
      <c r="D109" s="60" t="n">
        <v>29</v>
      </c>
      <c r="E109" s="60" t="n">
        <v>50</v>
      </c>
    </row>
    <row r="110" customFormat="false" ht="15" hidden="false" customHeight="true" outlineLevel="0" collapsed="false">
      <c r="A110" s="54" t="s">
        <v>1494</v>
      </c>
      <c r="B110" s="103" t="s">
        <v>1495</v>
      </c>
      <c r="C110" s="65" t="s">
        <v>128</v>
      </c>
      <c r="D110" s="60" t="n">
        <v>39</v>
      </c>
      <c r="E110" s="60" t="n">
        <v>67</v>
      </c>
    </row>
    <row r="111" customFormat="false" ht="15" hidden="false" customHeight="true" outlineLevel="0" collapsed="false">
      <c r="A111" s="54" t="s">
        <v>1496</v>
      </c>
      <c r="B111" s="103" t="s">
        <v>1497</v>
      </c>
      <c r="C111" s="65" t="s">
        <v>128</v>
      </c>
      <c r="D111" s="60" t="n">
        <v>61</v>
      </c>
      <c r="E111" s="60" t="n">
        <v>105</v>
      </c>
    </row>
    <row r="112" customFormat="false" ht="15" hidden="false" customHeight="true" outlineLevel="0" collapsed="false">
      <c r="A112" s="54" t="s">
        <v>1498</v>
      </c>
      <c r="B112" s="103" t="s">
        <v>1499</v>
      </c>
      <c r="C112" s="65" t="s">
        <v>128</v>
      </c>
      <c r="D112" s="60" t="n">
        <v>32</v>
      </c>
      <c r="E112" s="60" t="n">
        <v>55</v>
      </c>
    </row>
    <row r="113" customFormat="false" ht="15" hidden="false" customHeight="true" outlineLevel="0" collapsed="false">
      <c r="A113" s="54" t="s">
        <v>1500</v>
      </c>
      <c r="B113" s="103" t="s">
        <v>1340</v>
      </c>
      <c r="C113" s="65" t="s">
        <v>128</v>
      </c>
      <c r="D113" s="60" t="n">
        <v>8</v>
      </c>
      <c r="E113" s="60" t="n">
        <v>13</v>
      </c>
    </row>
    <row r="114" customFormat="false" ht="15" hidden="false" customHeight="true" outlineLevel="0" collapsed="false">
      <c r="A114" s="54" t="s">
        <v>1501</v>
      </c>
      <c r="B114" s="103" t="s">
        <v>1502</v>
      </c>
      <c r="C114" s="65" t="s">
        <v>1503</v>
      </c>
      <c r="D114" s="60" t="n">
        <v>12</v>
      </c>
      <c r="E114" s="60" t="n">
        <v>20</v>
      </c>
    </row>
    <row r="115" customFormat="false" ht="15" hidden="false" customHeight="true" outlineLevel="0" collapsed="false">
      <c r="A115" s="54" t="s">
        <v>1504</v>
      </c>
      <c r="B115" s="103" t="s">
        <v>1505</v>
      </c>
      <c r="C115" s="65" t="s">
        <v>128</v>
      </c>
      <c r="D115" s="60" t="n">
        <v>61</v>
      </c>
      <c r="E115" s="60" t="n">
        <v>105</v>
      </c>
    </row>
    <row r="116" customFormat="false" ht="15" hidden="false" customHeight="true" outlineLevel="0" collapsed="false">
      <c r="A116" s="54" t="s">
        <v>1506</v>
      </c>
      <c r="B116" s="103" t="s">
        <v>1507</v>
      </c>
      <c r="C116" s="65" t="s">
        <v>128</v>
      </c>
      <c r="D116" s="60" t="n">
        <v>17</v>
      </c>
      <c r="E116" s="60" t="n">
        <v>30</v>
      </c>
    </row>
    <row r="117" customFormat="false" ht="15" hidden="false" customHeight="true" outlineLevel="0" collapsed="false">
      <c r="A117" s="54" t="s">
        <v>1330</v>
      </c>
      <c r="B117" s="103" t="s">
        <v>1407</v>
      </c>
      <c r="C117" s="65" t="s">
        <v>1408</v>
      </c>
      <c r="D117" s="60" t="n">
        <v>1</v>
      </c>
      <c r="E117" s="60" t="n">
        <v>1</v>
      </c>
    </row>
    <row r="118" customFormat="false" ht="15" hidden="false" customHeight="true" outlineLevel="0" collapsed="false">
      <c r="A118" s="54" t="s">
        <v>1409</v>
      </c>
      <c r="B118" s="103" t="s">
        <v>1508</v>
      </c>
      <c r="C118" s="65" t="s">
        <v>128</v>
      </c>
      <c r="D118" s="60" t="n">
        <v>6</v>
      </c>
      <c r="E118" s="60" t="n">
        <v>10</v>
      </c>
    </row>
    <row r="119" customFormat="false" ht="15" hidden="false" customHeight="true" outlineLevel="0" collapsed="false">
      <c r="A119" s="54" t="s">
        <v>1321</v>
      </c>
      <c r="B119" s="103" t="s">
        <v>1412</v>
      </c>
      <c r="C119" s="65" t="s">
        <v>1408</v>
      </c>
      <c r="D119" s="60" t="n">
        <v>1</v>
      </c>
      <c r="E119" s="60" t="n">
        <v>2</v>
      </c>
    </row>
    <row r="120" customFormat="false" ht="15" hidden="false" customHeight="true" outlineLevel="0" collapsed="false">
      <c r="A120" s="54" t="s">
        <v>1345</v>
      </c>
      <c r="B120" s="103" t="s">
        <v>1413</v>
      </c>
      <c r="C120" s="65" t="s">
        <v>128</v>
      </c>
      <c r="D120" s="60" t="n">
        <v>23</v>
      </c>
      <c r="E120" s="60" t="n">
        <v>40</v>
      </c>
    </row>
    <row r="121" customFormat="false" ht="15" hidden="false" customHeight="true" outlineLevel="0" collapsed="false">
      <c r="A121" s="54" t="s">
        <v>1343</v>
      </c>
      <c r="B121" s="103" t="s">
        <v>1414</v>
      </c>
      <c r="C121" s="65" t="s">
        <v>128</v>
      </c>
      <c r="D121" s="60" t="n">
        <v>7</v>
      </c>
      <c r="E121" s="60" t="n">
        <v>12</v>
      </c>
    </row>
    <row r="122" customFormat="false" ht="15" hidden="false" customHeight="true" outlineLevel="0" collapsed="false">
      <c r="A122" s="54" t="s">
        <v>1509</v>
      </c>
      <c r="B122" s="103" t="s">
        <v>1510</v>
      </c>
      <c r="C122" s="65" t="s">
        <v>128</v>
      </c>
      <c r="D122" s="60" t="n">
        <v>29</v>
      </c>
      <c r="E122" s="60" t="n">
        <v>50</v>
      </c>
    </row>
    <row r="123" customFormat="false" ht="15" hidden="false" customHeight="true" outlineLevel="0" collapsed="false">
      <c r="A123" s="54" t="s">
        <v>1417</v>
      </c>
      <c r="B123" s="103" t="s">
        <v>1511</v>
      </c>
      <c r="C123" s="65" t="s">
        <v>128</v>
      </c>
      <c r="D123" s="60" t="n">
        <v>20</v>
      </c>
      <c r="E123" s="60" t="n">
        <v>35</v>
      </c>
    </row>
    <row r="124" customFormat="false" ht="15" hidden="false" customHeight="true" outlineLevel="0" collapsed="false">
      <c r="A124" s="54" t="s">
        <v>1419</v>
      </c>
      <c r="B124" s="103" t="s">
        <v>1512</v>
      </c>
      <c r="C124" s="65" t="s">
        <v>128</v>
      </c>
      <c r="D124" s="60" t="n">
        <v>5</v>
      </c>
      <c r="E124" s="60" t="n">
        <v>8</v>
      </c>
    </row>
    <row r="125" customFormat="false" ht="15" hidden="false" customHeight="true" outlineLevel="0" collapsed="false">
      <c r="A125" s="54" t="s">
        <v>1421</v>
      </c>
      <c r="B125" s="103" t="s">
        <v>1513</v>
      </c>
      <c r="C125" s="65" t="s">
        <v>128</v>
      </c>
      <c r="D125" s="60" t="n">
        <v>26</v>
      </c>
      <c r="E125" s="60" t="n">
        <v>45</v>
      </c>
    </row>
    <row r="126" customFormat="false" ht="15" hidden="false" customHeight="true" outlineLevel="0" collapsed="false">
      <c r="A126" s="54" t="s">
        <v>1423</v>
      </c>
      <c r="B126" s="103" t="s">
        <v>1514</v>
      </c>
      <c r="C126" s="65" t="s">
        <v>1425</v>
      </c>
      <c r="D126" s="60" t="n">
        <v>5</v>
      </c>
      <c r="E126" s="60" t="n">
        <v>9</v>
      </c>
    </row>
    <row r="127" customFormat="false" ht="15" hidden="false" customHeight="true" outlineLevel="0" collapsed="false">
      <c r="A127" s="54" t="s">
        <v>1426</v>
      </c>
      <c r="B127" s="103" t="s">
        <v>1427</v>
      </c>
      <c r="C127" s="65" t="s">
        <v>128</v>
      </c>
      <c r="D127" s="60" t="n">
        <v>7</v>
      </c>
      <c r="E127" s="60" t="n">
        <v>12</v>
      </c>
    </row>
    <row r="128" customFormat="false" ht="15" hidden="false" customHeight="true" outlineLevel="0" collapsed="false">
      <c r="A128" s="54" t="s">
        <v>1428</v>
      </c>
      <c r="B128" s="103" t="s">
        <v>1515</v>
      </c>
      <c r="C128" s="65" t="s">
        <v>128</v>
      </c>
      <c r="D128" s="60" t="n">
        <v>1</v>
      </c>
      <c r="E128" s="60" t="n">
        <v>2</v>
      </c>
    </row>
    <row r="129" customFormat="false" ht="15" hidden="false" customHeight="true" outlineLevel="0" collapsed="false">
      <c r="A129" s="54" t="s">
        <v>1516</v>
      </c>
      <c r="B129" s="103" t="s">
        <v>1517</v>
      </c>
      <c r="C129" s="65" t="s">
        <v>128</v>
      </c>
      <c r="D129" s="60" t="n">
        <v>1</v>
      </c>
      <c r="E129" s="60" t="n">
        <v>2</v>
      </c>
    </row>
    <row r="130" customFormat="false" ht="15" hidden="false" customHeight="true" outlineLevel="0" collapsed="false">
      <c r="A130" s="350" t="s">
        <v>1351</v>
      </c>
      <c r="B130" s="352"/>
      <c r="C130" s="352"/>
      <c r="D130" s="360" t="n">
        <f aca="false">SUM(D88:D129)</f>
        <v>985</v>
      </c>
      <c r="E130" s="360" t="n">
        <f aca="false">SUM(E88:E129)</f>
        <v>1700</v>
      </c>
    </row>
    <row r="131" customFormat="false" ht="15" hidden="false" customHeight="true" outlineLevel="0" collapsed="false">
      <c r="A131" s="54" t="s">
        <v>1352</v>
      </c>
      <c r="B131" s="329"/>
      <c r="C131" s="329"/>
      <c r="D131" s="60" t="n">
        <v>105</v>
      </c>
      <c r="E131" s="60" t="n">
        <v>150</v>
      </c>
    </row>
    <row r="132" customFormat="false" ht="15" hidden="false" customHeight="true" outlineLevel="0" collapsed="false">
      <c r="A132" s="117" t="s">
        <v>1353</v>
      </c>
      <c r="B132" s="330"/>
      <c r="C132" s="330"/>
      <c r="D132" s="361" t="n">
        <f aca="false">D130+D131</f>
        <v>1090</v>
      </c>
      <c r="E132" s="361" t="n">
        <f aca="false">E130+E131</f>
        <v>1850</v>
      </c>
    </row>
    <row r="133" customFormat="false" ht="15" hidden="false" customHeight="true" outlineLevel="0" collapsed="false">
      <c r="A133" s="362" t="s">
        <v>1354</v>
      </c>
      <c r="B133" s="363"/>
      <c r="C133" s="363"/>
      <c r="D133" s="363"/>
      <c r="E133" s="364" t="n">
        <v>1300</v>
      </c>
    </row>
    <row r="134" customFormat="false" ht="27.75" hidden="false" customHeight="true" outlineLevel="0" collapsed="false">
      <c r="A134" s="47" t="s">
        <v>1355</v>
      </c>
      <c r="B134" s="46"/>
      <c r="C134" s="46"/>
      <c r="D134" s="46"/>
      <c r="E134" s="46"/>
    </row>
    <row r="135" customFormat="false" ht="15" hidden="false" customHeight="true" outlineLevel="0" collapsed="false">
      <c r="A135" s="46"/>
      <c r="B135" s="46"/>
      <c r="C135" s="46"/>
      <c r="D135" s="46"/>
      <c r="E135" s="46"/>
    </row>
    <row r="136" customFormat="false" ht="15" hidden="false" customHeight="true" outlineLevel="0" collapsed="false">
      <c r="A136" s="117" t="s">
        <v>1518</v>
      </c>
      <c r="B136" s="330"/>
      <c r="C136" s="330"/>
      <c r="D136" s="330"/>
      <c r="E136" s="365" t="s">
        <v>140</v>
      </c>
    </row>
    <row r="137" customFormat="false" ht="15" hidden="false" customHeight="true" outlineLevel="0" collapsed="false">
      <c r="A137" s="54" t="s">
        <v>1519</v>
      </c>
      <c r="B137" s="65" t="s">
        <v>1520</v>
      </c>
      <c r="C137" s="329"/>
      <c r="D137" s="329"/>
      <c r="E137" s="366" t="n">
        <f aca="false">E27*0.15+12</f>
        <v>25.5</v>
      </c>
    </row>
    <row r="138" customFormat="false" ht="15" hidden="false" customHeight="true" outlineLevel="0" collapsed="false">
      <c r="A138" s="54" t="s">
        <v>1521</v>
      </c>
      <c r="B138" s="65" t="s">
        <v>1522</v>
      </c>
      <c r="C138" s="329"/>
      <c r="D138" s="329"/>
      <c r="E138" s="366" t="n">
        <f aca="false">E68*0.1+12</f>
        <v>72</v>
      </c>
    </row>
    <row r="139" customFormat="false" ht="15" hidden="false" customHeight="true" outlineLevel="0" collapsed="false">
      <c r="A139" s="54" t="s">
        <v>1523</v>
      </c>
      <c r="B139" s="65" t="s">
        <v>1520</v>
      </c>
      <c r="C139" s="329"/>
      <c r="D139" s="329"/>
      <c r="E139" s="366" t="n">
        <f aca="false">E84*0.15+12</f>
        <v>38.25</v>
      </c>
    </row>
    <row r="140" customFormat="false" ht="15" hidden="false" customHeight="true" outlineLevel="0" collapsed="false">
      <c r="A140" s="54" t="s">
        <v>1524</v>
      </c>
      <c r="B140" s="65" t="s">
        <v>1522</v>
      </c>
      <c r="C140" s="329"/>
      <c r="D140" s="329"/>
      <c r="E140" s="366" t="n">
        <f aca="false">E133*0.1+12</f>
        <v>142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6"/>
    <col collapsed="false" customWidth="true" hidden="false" outlineLevel="0" max="10" min="2" style="1" width="14"/>
    <col collapsed="false" customWidth="true" hidden="false" outlineLevel="0" max="13" min="11" style="1" width="11"/>
  </cols>
  <sheetData>
    <row r="1" customFormat="false" ht="18" hidden="false" customHeight="true" outlineLevel="0" collapsed="false">
      <c r="A1" s="21" t="s">
        <v>53</v>
      </c>
    </row>
    <row r="2" customFormat="false" ht="15" hidden="false" customHeight="true" outlineLevel="0" collapsed="false">
      <c r="A2" s="4" t="s">
        <v>54</v>
      </c>
      <c r="B2" s="4"/>
      <c r="C2" s="4"/>
      <c r="D2" s="4"/>
      <c r="E2" s="4"/>
      <c r="F2" s="4"/>
      <c r="G2" s="4"/>
      <c r="H2" s="4"/>
      <c r="I2" s="4"/>
      <c r="J2" s="4"/>
    </row>
    <row r="4" customFormat="false" ht="15" hidden="false" customHeight="true" outlineLevel="0" collapsed="false">
      <c r="A4" s="22" t="s">
        <v>55</v>
      </c>
      <c r="B4" s="22"/>
      <c r="C4" s="22"/>
      <c r="D4" s="22"/>
      <c r="E4" s="22"/>
      <c r="F4" s="22"/>
      <c r="G4" s="22"/>
      <c r="H4" s="22"/>
      <c r="I4" s="22"/>
      <c r="J4" s="22"/>
    </row>
    <row r="5" customFormat="false" ht="15" hidden="false" customHeight="true" outlineLevel="0" collapsed="false">
      <c r="A5" s="23" t="s">
        <v>56</v>
      </c>
      <c r="B5" s="24" t="n">
        <f aca="false">'05 P&amp;L'!J12</f>
        <v>108255000</v>
      </c>
      <c r="C5" s="25"/>
      <c r="D5" s="26" t="s">
        <v>57</v>
      </c>
      <c r="E5" s="26"/>
      <c r="F5" s="26"/>
      <c r="G5" s="26"/>
      <c r="H5" s="26"/>
      <c r="I5" s="25"/>
      <c r="J5" s="25"/>
    </row>
    <row r="6" customFormat="false" ht="15" hidden="false" customHeight="true" outlineLevel="0" collapsed="false">
      <c r="A6" s="23" t="s">
        <v>58</v>
      </c>
      <c r="B6" s="27" t="n">
        <f aca="false">('05 P&amp;L'!J12/'05 P&amp;L'!C12)^(1/7)-1</f>
        <v>0.466392447577647</v>
      </c>
      <c r="C6" s="25"/>
      <c r="D6" s="28" t="s">
        <v>59</v>
      </c>
      <c r="E6" s="28"/>
      <c r="F6" s="29" t="n">
        <v>1</v>
      </c>
      <c r="G6" s="25"/>
      <c r="H6" s="25"/>
      <c r="I6" s="25"/>
      <c r="J6" s="25"/>
    </row>
    <row r="7" customFormat="false" ht="15" hidden="false" customHeight="true" outlineLevel="0" collapsed="false">
      <c r="A7" s="23" t="s">
        <v>60</v>
      </c>
      <c r="B7" s="27" t="n">
        <f aca="false">'05 P&amp;L'!J18/'05 P&amp;L'!J12</f>
        <v>0.85902752693706</v>
      </c>
      <c r="C7" s="25"/>
      <c r="D7" s="28" t="s">
        <v>61</v>
      </c>
      <c r="E7" s="28"/>
      <c r="F7" s="30" t="str">
        <f aca="false">IF($F$6=1,"Grant via TERI (non-dilutive)","Equity + concessional debt")</f>
        <v>Grant via TERI (non-dilutive)</v>
      </c>
      <c r="G7" s="30"/>
      <c r="H7" s="30"/>
      <c r="I7" s="25"/>
      <c r="J7" s="25"/>
    </row>
    <row r="8" customFormat="false" ht="15" hidden="false" customHeight="true" outlineLevel="0" collapsed="false">
      <c r="A8" s="23" t="s">
        <v>4</v>
      </c>
      <c r="B8" s="24" t="n">
        <f aca="false">'05 P&amp;L'!J24</f>
        <v>77144024.9285714</v>
      </c>
      <c r="C8" s="25"/>
      <c r="D8" s="28" t="s">
        <v>62</v>
      </c>
      <c r="E8" s="28"/>
      <c r="F8" s="31" t="n">
        <f aca="false">IF($F$6=1,0,19319500/8)</f>
        <v>0</v>
      </c>
      <c r="G8" s="31"/>
      <c r="H8" s="31"/>
      <c r="I8" s="25"/>
      <c r="J8" s="25"/>
    </row>
    <row r="9" customFormat="false" ht="15" hidden="false" customHeight="true" outlineLevel="0" collapsed="false">
      <c r="A9" s="23" t="s">
        <v>63</v>
      </c>
      <c r="B9" s="27" t="n">
        <f aca="false">'05 P&amp;L'!J24/'05 P&amp;L'!J12</f>
        <v>0.712613966362491</v>
      </c>
      <c r="C9" s="25"/>
      <c r="D9" s="28" t="s">
        <v>64</v>
      </c>
      <c r="E9" s="28"/>
      <c r="F9" s="31" t="n">
        <f aca="false">'05 P&amp;L'!J24-F8</f>
        <v>77144024.9285714</v>
      </c>
      <c r="G9" s="31"/>
      <c r="H9" s="31"/>
      <c r="I9" s="25"/>
      <c r="J9" s="25"/>
    </row>
    <row r="10" customFormat="false" ht="15" hidden="false" customHeight="true" outlineLevel="0" collapsed="false">
      <c r="A10" s="23" t="s">
        <v>65</v>
      </c>
      <c r="B10" s="24" t="n">
        <f aca="false">'06 Cash-Flow'!J28</f>
        <v>478916725.585776</v>
      </c>
      <c r="C10" s="25"/>
      <c r="D10" s="28" t="s">
        <v>66</v>
      </c>
      <c r="E10" s="28"/>
      <c r="F10" s="32" t="n">
        <f aca="false">IF($F$6=1,'09 Funding'!C15,'09 Funding'!B52)</f>
        <v>0.773448773448774</v>
      </c>
      <c r="G10" s="32"/>
      <c r="H10" s="32"/>
      <c r="I10" s="25"/>
      <c r="J10" s="25"/>
    </row>
    <row r="11" customFormat="false" ht="15" hidden="false" customHeight="true" outlineLevel="0" collapsed="false">
      <c r="A11" s="23" t="s">
        <v>67</v>
      </c>
      <c r="B11" s="24" t="n">
        <f aca="false">'08 Valuation'!B15</f>
        <v>78221006.9188364</v>
      </c>
      <c r="C11" s="25"/>
      <c r="D11" s="28" t="s">
        <v>68</v>
      </c>
      <c r="E11" s="28"/>
      <c r="F11" s="31" t="n">
        <f aca="false">IF($F$6=1,0,19319500)</f>
        <v>0</v>
      </c>
      <c r="G11" s="31"/>
      <c r="H11" s="31"/>
      <c r="I11" s="25"/>
      <c r="J11" s="25"/>
    </row>
    <row r="12" customFormat="false" ht="15" hidden="false" customHeight="true" outlineLevel="0" collapsed="false">
      <c r="A12" s="23" t="s">
        <v>69</v>
      </c>
      <c r="B12" s="24" t="n">
        <f aca="false">'08 Valuation'!B39</f>
        <v>4500000</v>
      </c>
      <c r="C12" s="25"/>
      <c r="D12" s="33" t="s">
        <v>70</v>
      </c>
      <c r="E12" s="33"/>
      <c r="F12" s="33"/>
      <c r="G12" s="33"/>
      <c r="H12" s="33"/>
      <c r="I12" s="25"/>
      <c r="J12" s="25"/>
    </row>
    <row r="13" customFormat="false" ht="15" hidden="false" customHeight="true" outlineLevel="0" collapsed="false">
      <c r="A13" s="23" t="s">
        <v>71</v>
      </c>
      <c r="B13" s="24" t="n">
        <f aca="false">'08 Valuation'!B33</f>
        <v>1002872324.07143</v>
      </c>
      <c r="C13" s="25"/>
      <c r="D13" s="25"/>
      <c r="E13" s="25"/>
      <c r="F13" s="25"/>
      <c r="G13" s="25"/>
      <c r="H13" s="25"/>
      <c r="I13" s="25"/>
      <c r="J13" s="25"/>
    </row>
    <row r="14" customFormat="false" ht="15" hidden="false" customHeight="true" outlineLevel="0" collapsed="false">
      <c r="A14" s="23" t="s">
        <v>11</v>
      </c>
      <c r="B14" s="27" t="n">
        <f aca="false">'09 Funding'!C15</f>
        <v>0.773448773448774</v>
      </c>
      <c r="C14" s="25"/>
      <c r="D14" s="25"/>
      <c r="E14" s="25"/>
      <c r="F14" s="25"/>
      <c r="G14" s="25"/>
      <c r="H14" s="25"/>
      <c r="I14" s="25"/>
      <c r="J14" s="25"/>
    </row>
    <row r="15" customFormat="false" ht="15" hidden="false" customHeight="true" outlineLevel="0" collapsed="false">
      <c r="A15" s="23" t="s">
        <v>72</v>
      </c>
      <c r="B15" s="24" t="n">
        <f aca="false">'05 P&amp;L'!B34</f>
        <v>19319500</v>
      </c>
      <c r="C15" s="25"/>
      <c r="D15" s="25"/>
      <c r="E15" s="25"/>
      <c r="F15" s="25"/>
      <c r="G15" s="25"/>
      <c r="H15" s="25"/>
      <c r="I15" s="25"/>
      <c r="J15" s="25"/>
    </row>
    <row r="16" customFormat="false" ht="15" hidden="false" customHeight="true" outlineLevel="0" collapsed="false">
      <c r="A16" s="34" t="s">
        <v>73</v>
      </c>
      <c r="B16" s="34"/>
      <c r="C16" s="34"/>
      <c r="D16" s="34"/>
      <c r="E16" s="34"/>
      <c r="F16" s="34"/>
      <c r="G16" s="34"/>
      <c r="H16" s="34"/>
      <c r="I16" s="34"/>
      <c r="J16" s="34"/>
    </row>
    <row r="18" customFormat="false" ht="15" hidden="false" customHeight="true" outlineLevel="0" collapsed="false">
      <c r="A18" s="22" t="s">
        <v>74</v>
      </c>
      <c r="B18" s="22"/>
      <c r="C18" s="22"/>
      <c r="D18" s="22"/>
      <c r="E18" s="22"/>
      <c r="F18" s="22"/>
      <c r="G18" s="22"/>
      <c r="H18" s="22"/>
      <c r="I18" s="22"/>
      <c r="J18" s="22"/>
    </row>
    <row r="19" customFormat="false" ht="15" hidden="false" customHeight="true" outlineLevel="0" collapsed="false">
      <c r="A19" s="35"/>
      <c r="B19" s="36" t="s">
        <v>75</v>
      </c>
      <c r="C19" s="36" t="s">
        <v>76</v>
      </c>
      <c r="D19" s="36" t="s">
        <v>77</v>
      </c>
      <c r="E19" s="36" t="s">
        <v>78</v>
      </c>
      <c r="F19" s="36" t="s">
        <v>79</v>
      </c>
      <c r="G19" s="36" t="s">
        <v>80</v>
      </c>
      <c r="H19" s="36" t="s">
        <v>81</v>
      </c>
      <c r="I19" s="36" t="s">
        <v>82</v>
      </c>
      <c r="J19" s="36" t="s">
        <v>83</v>
      </c>
    </row>
    <row r="20" customFormat="false" ht="15" hidden="false" customHeight="true" outlineLevel="0" collapsed="false">
      <c r="A20" s="37" t="s">
        <v>84</v>
      </c>
      <c r="B20" s="38" t="n">
        <f aca="false">'05 P&amp;L'!B12</f>
        <v>0</v>
      </c>
      <c r="C20" s="38" t="n">
        <f aca="false">'05 P&amp;L'!C12</f>
        <v>7425000</v>
      </c>
      <c r="D20" s="38" t="n">
        <f aca="false">'05 P&amp;L'!D12</f>
        <v>20480000</v>
      </c>
      <c r="E20" s="38" t="n">
        <f aca="false">'05 P&amp;L'!E12</f>
        <v>36555000</v>
      </c>
      <c r="F20" s="38" t="n">
        <f aca="false">'05 P&amp;L'!F12</f>
        <v>53855000</v>
      </c>
      <c r="G20" s="38" t="n">
        <f aca="false">'05 P&amp;L'!G12</f>
        <v>71230000</v>
      </c>
      <c r="H20" s="38" t="n">
        <f aca="false">'05 P&amp;L'!H12</f>
        <v>85905000</v>
      </c>
      <c r="I20" s="38" t="n">
        <f aca="false">'05 P&amp;L'!I12</f>
        <v>97380000</v>
      </c>
      <c r="J20" s="38" t="n">
        <f aca="false">'05 P&amp;L'!J12</f>
        <v>108255000</v>
      </c>
    </row>
    <row r="21" customFormat="false" ht="15" hidden="false" customHeight="true" outlineLevel="0" collapsed="false">
      <c r="A21" s="23" t="s">
        <v>85</v>
      </c>
      <c r="B21" s="39" t="str">
        <f aca="false">""</f>
        <v/>
      </c>
      <c r="C21" s="39" t="str">
        <f aca="false">IF('05 P&amp;L'!B12=0,"",'05 P&amp;L'!C12/'05 P&amp;L'!B12-1)</f>
        <v/>
      </c>
      <c r="D21" s="39" t="n">
        <f aca="false">IF('05 P&amp;L'!C12=0,"",'05 P&amp;L'!D12/'05 P&amp;L'!C12-1)</f>
        <v>1.75824915824916</v>
      </c>
      <c r="E21" s="39" t="n">
        <f aca="false">IF('05 P&amp;L'!D12=0,"",'05 P&amp;L'!E12/'05 P&amp;L'!D12-1)</f>
        <v>0.784912109375</v>
      </c>
      <c r="F21" s="39" t="n">
        <f aca="false">IF('05 P&amp;L'!E12=0,"",'05 P&amp;L'!F12/'05 P&amp;L'!E12-1)</f>
        <v>0.47325947202845</v>
      </c>
      <c r="G21" s="39" t="n">
        <f aca="false">IF('05 P&amp;L'!F12=0,"",'05 P&amp;L'!G12/'05 P&amp;L'!F12-1)</f>
        <v>0.322625568656578</v>
      </c>
      <c r="H21" s="39" t="n">
        <f aca="false">IF('05 P&amp;L'!G12=0,"",'05 P&amp;L'!H12/'05 P&amp;L'!G12-1)</f>
        <v>0.206022743226169</v>
      </c>
      <c r="I21" s="39" t="n">
        <f aca="false">IF('05 P&amp;L'!H12=0,"",'05 P&amp;L'!I12/'05 P&amp;L'!H12-1)</f>
        <v>0.133577789418544</v>
      </c>
      <c r="J21" s="39" t="n">
        <f aca="false">IF('05 P&amp;L'!I12=0,"",'05 P&amp;L'!J12/'05 P&amp;L'!I12-1)</f>
        <v>0.111675908810844</v>
      </c>
    </row>
    <row r="22" customFormat="false" ht="15" hidden="false" customHeight="true" outlineLevel="0" collapsed="false">
      <c r="A22" s="23" t="s">
        <v>86</v>
      </c>
      <c r="B22" s="39" t="n">
        <f aca="false">IF('05 P&amp;L'!B12=0,0,'05 P&amp;L'!B18/'05 P&amp;L'!B12)</f>
        <v>0</v>
      </c>
      <c r="C22" s="39" t="n">
        <f aca="false">IF('05 P&amp;L'!C12=0,0,'05 P&amp;L'!C18/'05 P&amp;L'!C12)</f>
        <v>0.73853898027898</v>
      </c>
      <c r="D22" s="39" t="n">
        <f aca="false">IF('05 P&amp;L'!D12=0,0,'05 P&amp;L'!D18/'05 P&amp;L'!D12)</f>
        <v>0.75230936453683</v>
      </c>
      <c r="E22" s="39" t="n">
        <f aca="false">IF('05 P&amp;L'!E12=0,0,'05 P&amp;L'!E18/'05 P&amp;L'!E12)</f>
        <v>0.800115948570647</v>
      </c>
      <c r="F22" s="39" t="n">
        <f aca="false">IF('05 P&amp;L'!F12=0,0,'05 P&amp;L'!F18/'05 P&amp;L'!F12)</f>
        <v>0.833087537965702</v>
      </c>
      <c r="G22" s="39" t="n">
        <f aca="false">IF('05 P&amp;L'!G12=0,0,'05 P&amp;L'!G18/'05 P&amp;L'!G12)</f>
        <v>0.848497666512906</v>
      </c>
      <c r="H22" s="39" t="n">
        <f aca="false">IF('05 P&amp;L'!H12=0,0,'05 P&amp;L'!H18/'05 P&amp;L'!H12)</f>
        <v>0.855601033533721</v>
      </c>
      <c r="I22" s="39" t="n">
        <f aca="false">IF('05 P&amp;L'!I12=0,0,'05 P&amp;L'!I18/'05 P&amp;L'!I12)</f>
        <v>0.857640045623918</v>
      </c>
      <c r="J22" s="39" t="n">
        <f aca="false">IF('05 P&amp;L'!J12=0,0,'05 P&amp;L'!J18/'05 P&amp;L'!J12)</f>
        <v>0.85902752693706</v>
      </c>
    </row>
    <row r="23" customFormat="false" ht="15" hidden="false" customHeight="true" outlineLevel="0" collapsed="false">
      <c r="A23" s="37" t="s">
        <v>87</v>
      </c>
      <c r="B23" s="38" t="n">
        <f aca="false">'05 P&amp;L'!B24</f>
        <v>-2070000</v>
      </c>
      <c r="C23" s="38" t="n">
        <f aca="false">'05 P&amp;L'!C24</f>
        <v>2763651.92857143</v>
      </c>
      <c r="D23" s="38" t="n">
        <f aca="false">'05 P&amp;L'!D24</f>
        <v>10807295.7857143</v>
      </c>
      <c r="E23" s="38" t="n">
        <f aca="false">'05 P&amp;L'!E24</f>
        <v>22598238.5</v>
      </c>
      <c r="F23" s="38" t="n">
        <f aca="false">'05 P&amp;L'!F24</f>
        <v>34215929.3571429</v>
      </c>
      <c r="G23" s="38" t="n">
        <f aca="false">'05 P&amp;L'!G24</f>
        <v>47488488.7857143</v>
      </c>
      <c r="H23" s="38" t="n">
        <f aca="false">'05 P&amp;L'!H24</f>
        <v>59700406.7857143</v>
      </c>
      <c r="I23" s="38" t="n">
        <f aca="false">'05 P&amp;L'!I24</f>
        <v>68816987.6428571</v>
      </c>
      <c r="J23" s="38" t="n">
        <f aca="false">'05 P&amp;L'!J24</f>
        <v>77144024.9285714</v>
      </c>
    </row>
    <row r="24" customFormat="false" ht="15" hidden="false" customHeight="true" outlineLevel="0" collapsed="false">
      <c r="A24" s="23" t="s">
        <v>88</v>
      </c>
      <c r="B24" s="39" t="n">
        <f aca="false">IF('05 P&amp;L'!B12=0,0,'05 P&amp;L'!B24/'05 P&amp;L'!B12)</f>
        <v>0</v>
      </c>
      <c r="C24" s="39" t="n">
        <f aca="false">IF('05 P&amp;L'!C12=0,0,'05 P&amp;L'!C24/'05 P&amp;L'!C12)</f>
        <v>0.372209013949014</v>
      </c>
      <c r="D24" s="39" t="n">
        <f aca="false">IF('05 P&amp;L'!D12=0,0,'05 P&amp;L'!D24/'05 P&amp;L'!D12)</f>
        <v>0.52769998953683</v>
      </c>
      <c r="E24" s="39" t="n">
        <f aca="false">IF('05 P&amp;L'!E12=0,0,'05 P&amp;L'!E24/'05 P&amp;L'!E12)</f>
        <v>0.618198290247572</v>
      </c>
      <c r="F24" s="39" t="n">
        <f aca="false">IF('05 P&amp;L'!F12=0,0,'05 P&amp;L'!F24/'05 P&amp;L'!F12)</f>
        <v>0.635334311710015</v>
      </c>
      <c r="G24" s="39" t="n">
        <f aca="false">IF('05 P&amp;L'!G12=0,0,'05 P&amp;L'!G24/'05 P&amp;L'!G12)</f>
        <v>0.666692247447905</v>
      </c>
      <c r="H24" s="39" t="n">
        <f aca="false">IF('05 P&amp;L'!H12=0,0,'05 P&amp;L'!H24/'05 P&amp;L'!H12)</f>
        <v>0.694958463252596</v>
      </c>
      <c r="I24" s="39" t="n">
        <f aca="false">IF('05 P&amp;L'!I12=0,0,'05 P&amp;L'!I24/'05 P&amp;L'!I12)</f>
        <v>0.706685024058915</v>
      </c>
      <c r="J24" s="39" t="n">
        <f aca="false">IF('05 P&amp;L'!J12=0,0,'05 P&amp;L'!J24/'05 P&amp;L'!J12)</f>
        <v>0.712613966362491</v>
      </c>
    </row>
    <row r="25" customFormat="false" ht="15" hidden="false" customHeight="true" outlineLevel="0" collapsed="false">
      <c r="A25" s="23" t="s">
        <v>89</v>
      </c>
      <c r="B25" s="39" t="str">
        <f aca="false">""</f>
        <v/>
      </c>
      <c r="C25" s="39" t="str">
        <f aca="false">IF('05 P&amp;L'!B12=0,"",('05 P&amp;L'!C12/'05 P&amp;L'!B12-1)+'05 P&amp;L'!C24/'05 P&amp;L'!C12)</f>
        <v/>
      </c>
      <c r="D25" s="39" t="n">
        <f aca="false">IF('05 P&amp;L'!C12=0,"",('05 P&amp;L'!D12/'05 P&amp;L'!C12-1)+'05 P&amp;L'!D24/'05 P&amp;L'!D12)</f>
        <v>2.28594914778599</v>
      </c>
      <c r="E25" s="39" t="n">
        <f aca="false">IF('05 P&amp;L'!D12=0,"",('05 P&amp;L'!E12/'05 P&amp;L'!D12-1)+'05 P&amp;L'!E24/'05 P&amp;L'!E12)</f>
        <v>1.40311039962257</v>
      </c>
      <c r="F25" s="39" t="n">
        <f aca="false">IF('05 P&amp;L'!E12=0,"",('05 P&amp;L'!F12/'05 P&amp;L'!E12-1)+'05 P&amp;L'!F24/'05 P&amp;L'!F12)</f>
        <v>1.10859378373847</v>
      </c>
      <c r="G25" s="39" t="n">
        <f aca="false">IF('05 P&amp;L'!F12=0,"",('05 P&amp;L'!G12/'05 P&amp;L'!F12-1)+'05 P&amp;L'!G24/'05 P&amp;L'!G12)</f>
        <v>0.989317816104483</v>
      </c>
      <c r="H25" s="39" t="n">
        <f aca="false">IF('05 P&amp;L'!G12=0,"",('05 P&amp;L'!H12/'05 P&amp;L'!G12-1)+'05 P&amp;L'!H24/'05 P&amp;L'!H12)</f>
        <v>0.900981206478765</v>
      </c>
      <c r="I25" s="39" t="n">
        <f aca="false">IF('05 P&amp;L'!H12=0,"",('05 P&amp;L'!I12/'05 P&amp;L'!H12-1)+'05 P&amp;L'!I24/'05 P&amp;L'!I12)</f>
        <v>0.840262813477459</v>
      </c>
      <c r="J25" s="39" t="n">
        <f aca="false">IF('05 P&amp;L'!I12=0,"",('05 P&amp;L'!J12/'05 P&amp;L'!I12-1)+'05 P&amp;L'!J24/'05 P&amp;L'!J12)</f>
        <v>0.824289875173335</v>
      </c>
    </row>
    <row r="26" customFormat="false" ht="15" hidden="false" customHeight="true" outlineLevel="0" collapsed="false">
      <c r="A26" s="37" t="s">
        <v>90</v>
      </c>
      <c r="B26" s="38" t="n">
        <f aca="false">'06 Cash-Flow'!B28</f>
        <v>1700136.98630137</v>
      </c>
      <c r="C26" s="38" t="n">
        <f aca="false">'06 Cash-Flow'!C28</f>
        <v>5612417.56246331</v>
      </c>
      <c r="D26" s="38" t="n">
        <f aca="false">'06 Cash-Flow'!D28</f>
        <v>24702745.29693</v>
      </c>
      <c r="E26" s="38" t="n">
        <f aca="false">'06 Cash-Flow'!E28</f>
        <v>65206874.3231776</v>
      </c>
      <c r="F26" s="38" t="n">
        <f aca="false">'06 Cash-Flow'!F28</f>
        <v>126058514.031152</v>
      </c>
      <c r="G26" s="38" t="n">
        <f aca="false">'06 Cash-Flow'!G28</f>
        <v>199391425.691377</v>
      </c>
      <c r="H26" s="38" t="n">
        <f aca="false">'06 Cash-Flow'!H28</f>
        <v>284143413.058011</v>
      </c>
      <c r="I26" s="38" t="n">
        <f aca="false">'06 Cash-Flow'!I28</f>
        <v>377497899.193921</v>
      </c>
      <c r="J26" s="38" t="n">
        <f aca="false">'06 Cash-Flow'!J28</f>
        <v>478916725.585776</v>
      </c>
    </row>
    <row r="28" customFormat="false" ht="15" hidden="false" customHeight="true" outlineLevel="0" collapsed="false">
      <c r="A28" s="22" t="s">
        <v>91</v>
      </c>
      <c r="B28" s="22"/>
      <c r="C28" s="22"/>
      <c r="D28" s="22"/>
      <c r="E28" s="22"/>
      <c r="F28" s="22"/>
      <c r="G28" s="22"/>
      <c r="H28" s="22"/>
      <c r="I28" s="22"/>
      <c r="J28" s="22"/>
    </row>
    <row r="29" customFormat="false" ht="15" hidden="false" customHeight="true" outlineLevel="0" collapsed="false">
      <c r="A29" s="40" t="s">
        <v>92</v>
      </c>
      <c r="B29" s="40" t="s">
        <v>93</v>
      </c>
      <c r="C29" s="40" t="s">
        <v>94</v>
      </c>
      <c r="D29" s="40" t="s">
        <v>95</v>
      </c>
      <c r="E29" s="40" t="s">
        <v>96</v>
      </c>
      <c r="F29" s="40" t="s">
        <v>97</v>
      </c>
      <c r="G29" s="40" t="s">
        <v>98</v>
      </c>
      <c r="H29" s="40" t="s">
        <v>99</v>
      </c>
    </row>
    <row r="30" customFormat="false" ht="15" hidden="false" customHeight="true" outlineLevel="0" collapsed="false">
      <c r="A30" s="41" t="n">
        <f aca="false">'03 CTS_by_Stream'!M7</f>
        <v>0.877876111757012</v>
      </c>
      <c r="B30" s="41" t="n">
        <f aca="false">'03 CTS_by_Stream'!M8</f>
        <v>0.791471428571429</v>
      </c>
      <c r="C30" s="41" t="n">
        <f aca="false">'03 CTS_by_Stream'!M9</f>
        <v>0.565854285714286</v>
      </c>
      <c r="D30" s="41" t="n">
        <f aca="false">'03 CTS_by_Stream'!M10</f>
        <v>0.674390714285714</v>
      </c>
      <c r="E30" s="41" t="n">
        <f aca="false">'03 CTS_by_Stream'!G16</f>
        <v>0.966</v>
      </c>
      <c r="F30" s="41" t="n">
        <f aca="false">'03 CTS_by_Stream'!G17</f>
        <v>0.954181818181818</v>
      </c>
      <c r="G30" s="41" t="n">
        <f aca="false">'03 CTS_by_Stream'!G18</f>
        <v>0.290434782608696</v>
      </c>
      <c r="H30" s="41" t="n">
        <f aca="false">'03 CTS_by_Stream'!G19</f>
        <v>0.295238095238095</v>
      </c>
      <c r="I30" s="25"/>
      <c r="J30" s="25"/>
    </row>
    <row r="32" customFormat="false" ht="15" hidden="false" customHeight="true" outlineLevel="0" collapsed="false">
      <c r="A32" s="22" t="s">
        <v>100</v>
      </c>
      <c r="B32" s="22"/>
      <c r="C32" s="22"/>
      <c r="D32" s="22"/>
      <c r="E32" s="22"/>
      <c r="F32" s="22"/>
      <c r="G32" s="22"/>
      <c r="H32" s="22"/>
      <c r="I32" s="22"/>
      <c r="J32" s="22"/>
    </row>
    <row r="62" customFormat="false" ht="15" hidden="false" customHeight="true" outlineLevel="0" collapsed="false">
      <c r="B62" s="42" t="n">
        <v>2027</v>
      </c>
      <c r="C62" s="42" t="n">
        <v>2028</v>
      </c>
      <c r="D62" s="42" t="n">
        <v>2029</v>
      </c>
      <c r="E62" s="42" t="n">
        <v>2030</v>
      </c>
      <c r="F62" s="42" t="n">
        <v>2031</v>
      </c>
      <c r="G62" s="42" t="n">
        <v>2032</v>
      </c>
      <c r="H62" s="42" t="n">
        <v>2033</v>
      </c>
      <c r="I62" s="42" t="n">
        <v>2034</v>
      </c>
      <c r="J62" s="42" t="n">
        <v>2035</v>
      </c>
    </row>
    <row r="63" customFormat="false" ht="15" hidden="false" customHeight="true" outlineLevel="0" collapsed="false">
      <c r="A63" s="42" t="s">
        <v>92</v>
      </c>
      <c r="B63" s="43" t="n">
        <f aca="false">'05 P&amp;L'!B7</f>
        <v>0</v>
      </c>
      <c r="C63" s="43" t="n">
        <f aca="false">'05 P&amp;L'!C7</f>
        <v>7000000</v>
      </c>
      <c r="D63" s="43" t="n">
        <f aca="false">'05 P&amp;L'!D7</f>
        <v>14980000</v>
      </c>
      <c r="E63" s="43" t="n">
        <f aca="false">'05 P&amp;L'!E7</f>
        <v>24180000</v>
      </c>
      <c r="F63" s="43" t="n">
        <f aca="false">'05 P&amp;L'!F7</f>
        <v>32380000</v>
      </c>
      <c r="G63" s="43" t="n">
        <f aca="false">'05 P&amp;L'!G7</f>
        <v>40380000</v>
      </c>
      <c r="H63" s="43" t="n">
        <f aca="false">'05 P&amp;L'!H7</f>
        <v>47580000</v>
      </c>
      <c r="I63" s="43" t="n">
        <f aca="false">'05 P&amp;L'!I7</f>
        <v>53580000</v>
      </c>
      <c r="J63" s="43" t="n">
        <f aca="false">'05 P&amp;L'!J7</f>
        <v>58980000</v>
      </c>
    </row>
    <row r="64" customFormat="false" ht="15" hidden="false" customHeight="true" outlineLevel="0" collapsed="false">
      <c r="A64" s="42" t="s">
        <v>101</v>
      </c>
      <c r="B64" s="43" t="n">
        <f aca="false">'05 P&amp;L'!B8</f>
        <v>0</v>
      </c>
      <c r="C64" s="43" t="n">
        <f aca="false">'05 P&amp;L'!C8</f>
        <v>300000</v>
      </c>
      <c r="D64" s="43" t="n">
        <f aca="false">'05 P&amp;L'!D8</f>
        <v>3750000</v>
      </c>
      <c r="E64" s="43" t="n">
        <f aca="false">'05 P&amp;L'!E8</f>
        <v>9250000</v>
      </c>
      <c r="F64" s="43" t="n">
        <f aca="false">'05 P&amp;L'!F8</f>
        <v>16750000</v>
      </c>
      <c r="G64" s="43" t="n">
        <f aca="false">'05 P&amp;L'!G8</f>
        <v>24250000</v>
      </c>
      <c r="H64" s="43" t="n">
        <f aca="false">'05 P&amp;L'!H8</f>
        <v>30000000</v>
      </c>
      <c r="I64" s="43" t="n">
        <f aca="false">'05 P&amp;L'!I8</f>
        <v>33750000</v>
      </c>
      <c r="J64" s="43" t="n">
        <f aca="false">'05 P&amp;L'!J8</f>
        <v>37500000</v>
      </c>
    </row>
    <row r="65" customFormat="false" ht="15" hidden="false" customHeight="true" outlineLevel="0" collapsed="false">
      <c r="A65" s="42" t="s">
        <v>102</v>
      </c>
      <c r="B65" s="43" t="n">
        <f aca="false">'05 P&amp;L'!B9</f>
        <v>0</v>
      </c>
      <c r="C65" s="43" t="n">
        <f aca="false">'05 P&amp;L'!C9</f>
        <v>125000</v>
      </c>
      <c r="D65" s="43" t="n">
        <f aca="false">'05 P&amp;L'!D9</f>
        <v>475000</v>
      </c>
      <c r="E65" s="43" t="n">
        <f aca="false">'05 P&amp;L'!E9</f>
        <v>950000</v>
      </c>
      <c r="F65" s="43" t="n">
        <f aca="false">'05 P&amp;L'!F9</f>
        <v>1650000</v>
      </c>
      <c r="G65" s="43" t="n">
        <f aca="false">'05 P&amp;L'!G9</f>
        <v>2400000</v>
      </c>
      <c r="H65" s="43" t="n">
        <f aca="false">'05 P&amp;L'!H9</f>
        <v>3150000</v>
      </c>
      <c r="I65" s="43" t="n">
        <f aca="false">'05 P&amp;L'!I9</f>
        <v>3900000</v>
      </c>
      <c r="J65" s="43" t="n">
        <f aca="false">'05 P&amp;L'!J9</f>
        <v>4650000</v>
      </c>
    </row>
    <row r="66" customFormat="false" ht="15" hidden="false" customHeight="true" outlineLevel="0" collapsed="false">
      <c r="A66" s="42" t="s">
        <v>98</v>
      </c>
      <c r="B66" s="43" t="n">
        <f aca="false">'05 P&amp;L'!B10</f>
        <v>0</v>
      </c>
      <c r="C66" s="43" t="n">
        <f aca="false">'05 P&amp;L'!C10</f>
        <v>0</v>
      </c>
      <c r="D66" s="43" t="n">
        <f aca="false">'05 P&amp;L'!D10</f>
        <v>750000</v>
      </c>
      <c r="E66" s="43" t="n">
        <f aca="false">'05 P&amp;L'!E10</f>
        <v>1125000</v>
      </c>
      <c r="F66" s="43" t="n">
        <f aca="false">'05 P&amp;L'!F10</f>
        <v>1500000</v>
      </c>
      <c r="G66" s="43" t="n">
        <f aca="false">'05 P&amp;L'!G10</f>
        <v>2100000</v>
      </c>
      <c r="H66" s="43" t="n">
        <f aca="false">'05 P&amp;L'!H10</f>
        <v>2550000</v>
      </c>
      <c r="I66" s="43" t="n">
        <f aca="false">'05 P&amp;L'!I10</f>
        <v>3000000</v>
      </c>
      <c r="J66" s="43" t="n">
        <f aca="false">'05 P&amp;L'!J10</f>
        <v>3450000</v>
      </c>
    </row>
    <row r="67" customFormat="false" ht="15" hidden="false" customHeight="true" outlineLevel="0" collapsed="false">
      <c r="A67" s="42" t="s">
        <v>99</v>
      </c>
      <c r="B67" s="43" t="n">
        <f aca="false">'05 P&amp;L'!B11</f>
        <v>0</v>
      </c>
      <c r="C67" s="43" t="n">
        <f aca="false">'05 P&amp;L'!C11</f>
        <v>0</v>
      </c>
      <c r="D67" s="43" t="n">
        <f aca="false">'05 P&amp;L'!D11</f>
        <v>525000</v>
      </c>
      <c r="E67" s="43" t="n">
        <f aca="false">'05 P&amp;L'!E11</f>
        <v>1050000</v>
      </c>
      <c r="F67" s="43" t="n">
        <f aca="false">'05 P&amp;L'!F11</f>
        <v>1575000</v>
      </c>
      <c r="G67" s="43" t="n">
        <f aca="false">'05 P&amp;L'!G11</f>
        <v>2100000</v>
      </c>
      <c r="H67" s="43" t="n">
        <f aca="false">'05 P&amp;L'!H11</f>
        <v>2625000</v>
      </c>
      <c r="I67" s="43" t="n">
        <f aca="false">'05 P&amp;L'!I11</f>
        <v>3150000</v>
      </c>
      <c r="J67" s="43" t="n">
        <f aca="false">'05 P&amp;L'!J11</f>
        <v>3675000</v>
      </c>
    </row>
    <row r="68" customFormat="false" ht="15" hidden="false" customHeight="true" outlineLevel="0" collapsed="false">
      <c r="A68" s="42" t="s">
        <v>87</v>
      </c>
      <c r="B68" s="43" t="n">
        <f aca="false">'05 P&amp;L'!B24</f>
        <v>-2070000</v>
      </c>
      <c r="C68" s="43" t="n">
        <f aca="false">'05 P&amp;L'!C24</f>
        <v>2763651.92857143</v>
      </c>
      <c r="D68" s="43" t="n">
        <f aca="false">'05 P&amp;L'!D24</f>
        <v>10807295.7857143</v>
      </c>
      <c r="E68" s="43" t="n">
        <f aca="false">'05 P&amp;L'!E24</f>
        <v>22598238.5</v>
      </c>
      <c r="F68" s="43" t="n">
        <f aca="false">'05 P&amp;L'!F24</f>
        <v>34215929.3571429</v>
      </c>
      <c r="G68" s="43" t="n">
        <f aca="false">'05 P&amp;L'!G24</f>
        <v>47488488.7857143</v>
      </c>
      <c r="H68" s="43" t="n">
        <f aca="false">'05 P&amp;L'!H24</f>
        <v>59700406.7857143</v>
      </c>
      <c r="I68" s="43" t="n">
        <f aca="false">'05 P&amp;L'!I24</f>
        <v>68816987.6428571</v>
      </c>
      <c r="J68" s="43" t="n">
        <f aca="false">'05 P&amp;L'!J24</f>
        <v>77144024.9285714</v>
      </c>
    </row>
    <row r="69" customFormat="false" ht="15" hidden="false" customHeight="true" outlineLevel="0" collapsed="false">
      <c r="A69" s="42" t="s">
        <v>103</v>
      </c>
      <c r="B69" s="43" t="n">
        <f aca="false">'06 Cash-Flow'!B28</f>
        <v>1700136.98630137</v>
      </c>
      <c r="C69" s="43" t="n">
        <f aca="false">'06 Cash-Flow'!C28</f>
        <v>5612417.56246331</v>
      </c>
      <c r="D69" s="43" t="n">
        <f aca="false">'06 Cash-Flow'!D28</f>
        <v>24702745.29693</v>
      </c>
      <c r="E69" s="43" t="n">
        <f aca="false">'06 Cash-Flow'!E28</f>
        <v>65206874.3231776</v>
      </c>
      <c r="F69" s="43" t="n">
        <f aca="false">'06 Cash-Flow'!F28</f>
        <v>126058514.031152</v>
      </c>
      <c r="G69" s="43" t="n">
        <f aca="false">'06 Cash-Flow'!G28</f>
        <v>199391425.691377</v>
      </c>
      <c r="H69" s="43" t="n">
        <f aca="false">'06 Cash-Flow'!H28</f>
        <v>284143413.058011</v>
      </c>
      <c r="I69" s="43" t="n">
        <f aca="false">'06 Cash-Flow'!I28</f>
        <v>377497899.193921</v>
      </c>
      <c r="J69" s="43" t="n">
        <f aca="false">'06 Cash-Flow'!J28</f>
        <v>478916725.585776</v>
      </c>
    </row>
    <row r="71" customFormat="false" ht="15" hidden="false" customHeight="true" outlineLevel="0" collapsed="false">
      <c r="B71" s="42" t="s">
        <v>92</v>
      </c>
      <c r="C71" s="42" t="s">
        <v>93</v>
      </c>
      <c r="D71" s="42" t="s">
        <v>94</v>
      </c>
      <c r="E71" s="42" t="s">
        <v>95</v>
      </c>
      <c r="F71" s="42" t="s">
        <v>96</v>
      </c>
      <c r="G71" s="42" t="s">
        <v>97</v>
      </c>
      <c r="H71" s="42" t="s">
        <v>98</v>
      </c>
      <c r="I71" s="42" t="s">
        <v>99</v>
      </c>
    </row>
    <row r="72" customFormat="false" ht="15" hidden="false" customHeight="true" outlineLevel="0" collapsed="false">
      <c r="B72" s="44" t="n">
        <f aca="false">'03 CTS_by_Stream'!M7</f>
        <v>0.877876111757012</v>
      </c>
      <c r="C72" s="44" t="n">
        <f aca="false">'03 CTS_by_Stream'!M8</f>
        <v>0.791471428571429</v>
      </c>
      <c r="D72" s="44" t="n">
        <f aca="false">'03 CTS_by_Stream'!M9</f>
        <v>0.565854285714286</v>
      </c>
      <c r="E72" s="44" t="n">
        <f aca="false">'03 CTS_by_Stream'!M10</f>
        <v>0.674390714285714</v>
      </c>
      <c r="F72" s="44" t="n">
        <f aca="false">'03 CTS_by_Stream'!G16</f>
        <v>0.966</v>
      </c>
      <c r="G72" s="44" t="n">
        <f aca="false">'03 CTS_by_Stream'!G17</f>
        <v>0.954181818181818</v>
      </c>
      <c r="H72" s="44" t="n">
        <f aca="false">'03 CTS_by_Stream'!G18</f>
        <v>0.290434782608696</v>
      </c>
      <c r="I72" s="44" t="n">
        <f aca="false">'03 CTS_by_Stream'!G19</f>
        <v>0.295238095238095</v>
      </c>
    </row>
  </sheetData>
  <mergeCells count="19">
    <mergeCell ref="A2:J2"/>
    <mergeCell ref="A4:J4"/>
    <mergeCell ref="D5:H5"/>
    <mergeCell ref="D6:E6"/>
    <mergeCell ref="D7:E7"/>
    <mergeCell ref="F7:H7"/>
    <mergeCell ref="D8:E8"/>
    <mergeCell ref="F8:H8"/>
    <mergeCell ref="D9:E9"/>
    <mergeCell ref="F9:H9"/>
    <mergeCell ref="D10:E10"/>
    <mergeCell ref="F10:H10"/>
    <mergeCell ref="D11:E11"/>
    <mergeCell ref="F11:H11"/>
    <mergeCell ref="D12:H12"/>
    <mergeCell ref="A16:J16"/>
    <mergeCell ref="A18:J18"/>
    <mergeCell ref="A28:J28"/>
    <mergeCell ref="A32:J32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42"/>
    <col collapsed="false" customWidth="true" hidden="false" outlineLevel="0" max="3" min="3" style="1" width="16"/>
  </cols>
  <sheetData>
    <row r="1" customFormat="false" ht="17.25" hidden="false" customHeight="true" outlineLevel="0" collapsed="false">
      <c r="A1" s="45" t="s">
        <v>1525</v>
      </c>
      <c r="B1" s="46"/>
      <c r="C1" s="46"/>
    </row>
    <row r="2" customFormat="false" ht="15" hidden="false" customHeight="true" outlineLevel="0" collapsed="false">
      <c r="A2" s="76" t="s">
        <v>1526</v>
      </c>
      <c r="B2" s="46"/>
      <c r="C2" s="46"/>
    </row>
    <row r="3" customFormat="false" ht="15" hidden="false" customHeight="true" outlineLevel="0" collapsed="false">
      <c r="A3" s="367" t="s">
        <v>1527</v>
      </c>
      <c r="B3" s="368" t="s">
        <v>1528</v>
      </c>
      <c r="C3" s="368" t="s">
        <v>1529</v>
      </c>
    </row>
    <row r="4" customFormat="false" ht="15" hidden="false" customHeight="true" outlineLevel="0" collapsed="false">
      <c r="A4" s="54" t="s">
        <v>1530</v>
      </c>
      <c r="B4" s="65" t="s">
        <v>1531</v>
      </c>
      <c r="C4" s="58" t="s">
        <v>1532</v>
      </c>
    </row>
    <row r="5" customFormat="false" ht="15" hidden="false" customHeight="true" outlineLevel="0" collapsed="false">
      <c r="A5" s="54" t="s">
        <v>1533</v>
      </c>
      <c r="B5" s="65" t="s">
        <v>1534</v>
      </c>
      <c r="C5" s="58" t="s">
        <v>1535</v>
      </c>
    </row>
    <row r="6" customFormat="false" ht="15" hidden="false" customHeight="true" outlineLevel="0" collapsed="false">
      <c r="A6" s="54" t="s">
        <v>1536</v>
      </c>
      <c r="B6" s="65" t="s">
        <v>1537</v>
      </c>
      <c r="C6" s="58" t="s">
        <v>1538</v>
      </c>
    </row>
    <row r="7" customFormat="false" ht="15" hidden="false" customHeight="true" outlineLevel="0" collapsed="false">
      <c r="A7" s="54" t="s">
        <v>1539</v>
      </c>
      <c r="B7" s="65" t="s">
        <v>1540</v>
      </c>
      <c r="C7" s="58" t="s">
        <v>1541</v>
      </c>
    </row>
    <row r="8" customFormat="false" ht="15" hidden="false" customHeight="true" outlineLevel="0" collapsed="false">
      <c r="A8" s="350" t="s">
        <v>1542</v>
      </c>
      <c r="B8" s="369" t="s">
        <v>1543</v>
      </c>
      <c r="C8" s="350" t="s">
        <v>1544</v>
      </c>
    </row>
    <row r="9" customFormat="false" ht="15" hidden="false" customHeight="true" outlineLevel="0" collapsed="false">
      <c r="A9" s="362" t="s">
        <v>1545</v>
      </c>
      <c r="B9" s="363"/>
      <c r="C9" s="362" t="s">
        <v>1546</v>
      </c>
    </row>
    <row r="10" customFormat="false" ht="15" hidden="false" customHeight="true" outlineLevel="0" collapsed="false">
      <c r="A10" s="76" t="s">
        <v>1547</v>
      </c>
      <c r="B10" s="46"/>
      <c r="C10" s="4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9" activeCellId="0" sqref="J29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40"/>
    <col collapsed="false" customWidth="true" hidden="false" outlineLevel="0" max="10" min="2" style="1" width="13"/>
  </cols>
  <sheetData>
    <row r="1" customFormat="false" ht="17.25" hidden="false" customHeight="true" outlineLevel="0" collapsed="false">
      <c r="A1" s="244" t="s">
        <v>1548</v>
      </c>
      <c r="B1" s="244"/>
      <c r="C1" s="244"/>
      <c r="D1" s="244"/>
      <c r="E1" s="244"/>
      <c r="F1" s="244"/>
      <c r="G1" s="244"/>
      <c r="H1" s="244"/>
      <c r="I1" s="244"/>
      <c r="J1" s="244"/>
    </row>
    <row r="2" customFormat="false" ht="15" hidden="false" customHeight="true" outlineLevel="0" collapsed="false">
      <c r="A2" s="4" t="s">
        <v>1549</v>
      </c>
      <c r="B2" s="4"/>
      <c r="C2" s="4"/>
      <c r="D2" s="4"/>
      <c r="E2" s="4"/>
      <c r="F2" s="4"/>
      <c r="G2" s="4"/>
      <c r="H2" s="4"/>
      <c r="I2" s="4"/>
      <c r="J2" s="4"/>
    </row>
    <row r="4" customFormat="false" ht="15" hidden="false" customHeight="true" outlineLevel="0" collapsed="false">
      <c r="A4" s="162" t="s">
        <v>1550</v>
      </c>
      <c r="B4" s="174" t="n">
        <v>8</v>
      </c>
    </row>
    <row r="6" customFormat="false" ht="15" hidden="false" customHeight="true" outlineLevel="0" collapsed="false">
      <c r="A6" s="159"/>
      <c r="B6" s="139" t="n">
        <v>2027</v>
      </c>
      <c r="C6" s="139" t="n">
        <v>2028</v>
      </c>
      <c r="D6" s="139" t="n">
        <v>2029</v>
      </c>
      <c r="E6" s="139" t="n">
        <v>2030</v>
      </c>
      <c r="F6" s="139" t="n">
        <v>2031</v>
      </c>
      <c r="G6" s="139" t="n">
        <v>2032</v>
      </c>
      <c r="H6" s="139" t="n">
        <v>2033</v>
      </c>
      <c r="I6" s="139" t="n">
        <v>2034</v>
      </c>
      <c r="J6" s="139" t="n">
        <v>2035</v>
      </c>
    </row>
    <row r="7" customFormat="false" ht="15" hidden="false" customHeight="true" outlineLevel="0" collapsed="false">
      <c r="A7" s="163" t="s">
        <v>1551</v>
      </c>
      <c r="B7" s="261" t="n">
        <f aca="false">'06 Cash-Flow'!B19</f>
        <v>3700000</v>
      </c>
      <c r="C7" s="261" t="n">
        <f aca="false">'06 Cash-Flow'!C19</f>
        <v>8500000</v>
      </c>
      <c r="D7" s="261" t="n">
        <f aca="false">'06 Cash-Flow'!D19</f>
        <v>6600000</v>
      </c>
      <c r="E7" s="261" t="n">
        <f aca="false">'06 Cash-Flow'!E19</f>
        <v>519500</v>
      </c>
      <c r="F7" s="261" t="n">
        <f aca="false">'06 Cash-Flow'!F19</f>
        <v>0</v>
      </c>
      <c r="G7" s="261" t="n">
        <f aca="false">'06 Cash-Flow'!G19</f>
        <v>0</v>
      </c>
      <c r="H7" s="261" t="n">
        <f aca="false">'06 Cash-Flow'!H19</f>
        <v>0</v>
      </c>
      <c r="I7" s="261" t="n">
        <f aca="false">'06 Cash-Flow'!I19</f>
        <v>0</v>
      </c>
      <c r="J7" s="261" t="n">
        <f aca="false">'06 Cash-Flow'!J19</f>
        <v>0</v>
      </c>
    </row>
    <row r="8" customFormat="false" ht="15" hidden="false" customHeight="true" outlineLevel="0" collapsed="false">
      <c r="A8" s="210" t="s">
        <v>1552</v>
      </c>
      <c r="B8" s="171" t="n">
        <f aca="false">B7</f>
        <v>3700000</v>
      </c>
      <c r="C8" s="171" t="n">
        <f aca="false">B8+C7</f>
        <v>12200000</v>
      </c>
      <c r="D8" s="171" t="n">
        <f aca="false">C8+D7</f>
        <v>18800000</v>
      </c>
      <c r="E8" s="171" t="n">
        <f aca="false">D8+E7</f>
        <v>19319500</v>
      </c>
      <c r="F8" s="171" t="n">
        <f aca="false">E8+F7</f>
        <v>19319500</v>
      </c>
      <c r="G8" s="171" t="n">
        <f aca="false">F8+G7</f>
        <v>19319500</v>
      </c>
      <c r="H8" s="171" t="n">
        <f aca="false">G8+H7</f>
        <v>19319500</v>
      </c>
      <c r="I8" s="171" t="n">
        <f aca="false">H8+I7</f>
        <v>19319500</v>
      </c>
      <c r="J8" s="171" t="n">
        <f aca="false">I8+J7</f>
        <v>19319500</v>
      </c>
    </row>
    <row r="10" customFormat="false" ht="15" hidden="false" customHeight="true" outlineLevel="0" collapsed="false">
      <c r="A10" s="370" t="s">
        <v>1553</v>
      </c>
      <c r="B10" s="35"/>
      <c r="C10" s="35"/>
      <c r="D10" s="35"/>
      <c r="E10" s="35"/>
      <c r="F10" s="35"/>
      <c r="G10" s="35"/>
      <c r="H10" s="35"/>
      <c r="I10" s="35"/>
      <c r="J10" s="35"/>
    </row>
    <row r="11" customFormat="false" ht="15" hidden="false" customHeight="true" outlineLevel="0" collapsed="false">
      <c r="A11" s="225" t="s">
        <v>1554</v>
      </c>
      <c r="B11" s="261" t="n">
        <f aca="false">IF(AND(2027&gt;=(2027),2027&lt;=(2027+$B$4-1)),$B$7/$B$4,0)</f>
        <v>462500</v>
      </c>
      <c r="C11" s="261" t="n">
        <f aca="false">IF(AND(2028&gt;=(2027),2028&lt;=(2027+$B$4-1)),$B$7/$B$4,0)</f>
        <v>462500</v>
      </c>
      <c r="D11" s="261" t="n">
        <f aca="false">IF(AND(2029&gt;=(2027),2029&lt;=(2027+$B$4-1)),$B$7/$B$4,0)</f>
        <v>462500</v>
      </c>
      <c r="E11" s="261" t="n">
        <f aca="false">IF(AND(2030&gt;=(2027),2030&lt;=(2027+$B$4-1)),$B$7/$B$4,0)</f>
        <v>462500</v>
      </c>
      <c r="F11" s="261" t="n">
        <f aca="false">IF(AND(2031&gt;=(2027),2031&lt;=(2027+$B$4-1)),$B$7/$B$4,0)</f>
        <v>462500</v>
      </c>
      <c r="G11" s="261" t="n">
        <f aca="false">IF(AND(2032&gt;=(2027),2032&lt;=(2027+$B$4-1)),$B$7/$B$4,0)</f>
        <v>462500</v>
      </c>
      <c r="H11" s="261" t="n">
        <f aca="false">IF(AND(2033&gt;=(2027),2033&lt;=(2027+$B$4-1)),$B$7/$B$4,0)</f>
        <v>462500</v>
      </c>
      <c r="I11" s="261" t="n">
        <f aca="false">IF(AND(2034&gt;=(2027),2034&lt;=(2027+$B$4-1)),$B$7/$B$4,0)</f>
        <v>462500</v>
      </c>
      <c r="J11" s="261" t="n">
        <f aca="false">IF(AND(2035&gt;=(2027),2035&lt;=(2027+$B$4-1)),$B$7/$B$4,0)</f>
        <v>0</v>
      </c>
    </row>
    <row r="12" customFormat="false" ht="15" hidden="false" customHeight="true" outlineLevel="0" collapsed="false">
      <c r="A12" s="225" t="s">
        <v>1555</v>
      </c>
      <c r="B12" s="261" t="n">
        <f aca="false">IF(AND(2027&gt;=(2028),2027&lt;=(2028+$B$4-1)),$C$7/$B$4,0)</f>
        <v>0</v>
      </c>
      <c r="C12" s="261" t="n">
        <f aca="false">IF(AND(2028&gt;=(2028),2028&lt;=(2028+$B$4-1)),$C$7/$B$4,0)</f>
        <v>1062500</v>
      </c>
      <c r="D12" s="261" t="n">
        <f aca="false">IF(AND(2029&gt;=(2028),2029&lt;=(2028+$B$4-1)),$C$7/$B$4,0)</f>
        <v>1062500</v>
      </c>
      <c r="E12" s="261" t="n">
        <f aca="false">IF(AND(2030&gt;=(2028),2030&lt;=(2028+$B$4-1)),$C$7/$B$4,0)</f>
        <v>1062500</v>
      </c>
      <c r="F12" s="261" t="n">
        <f aca="false">IF(AND(2031&gt;=(2028),2031&lt;=(2028+$B$4-1)),$C$7/$B$4,0)</f>
        <v>1062500</v>
      </c>
      <c r="G12" s="261" t="n">
        <f aca="false">IF(AND(2032&gt;=(2028),2032&lt;=(2028+$B$4-1)),$C$7/$B$4,0)</f>
        <v>1062500</v>
      </c>
      <c r="H12" s="261" t="n">
        <f aca="false">IF(AND(2033&gt;=(2028),2033&lt;=(2028+$B$4-1)),$C$7/$B$4,0)</f>
        <v>1062500</v>
      </c>
      <c r="I12" s="261" t="n">
        <f aca="false">IF(AND(2034&gt;=(2028),2034&lt;=(2028+$B$4-1)),$C$7/$B$4,0)</f>
        <v>1062500</v>
      </c>
      <c r="J12" s="261" t="n">
        <f aca="false">IF(AND(2035&gt;=(2028),2035&lt;=(2028+$B$4-1)),$C$7/$B$4,0)</f>
        <v>1062500</v>
      </c>
    </row>
    <row r="13" customFormat="false" ht="15" hidden="false" customHeight="true" outlineLevel="0" collapsed="false">
      <c r="A13" s="225" t="s">
        <v>1556</v>
      </c>
      <c r="B13" s="261" t="n">
        <f aca="false">IF(AND(2027&gt;=(2029),2027&lt;=(2029+$B$4-1)),$D$7/$B$4,0)</f>
        <v>0</v>
      </c>
      <c r="C13" s="261" t="n">
        <f aca="false">IF(AND(2028&gt;=(2029),2028&lt;=(2029+$B$4-1)),$D$7/$B$4,0)</f>
        <v>0</v>
      </c>
      <c r="D13" s="261" t="n">
        <f aca="false">IF(AND(2029&gt;=(2029),2029&lt;=(2029+$B$4-1)),$D$7/$B$4,0)</f>
        <v>825000</v>
      </c>
      <c r="E13" s="261" t="n">
        <f aca="false">IF(AND(2030&gt;=(2029),2030&lt;=(2029+$B$4-1)),$D$7/$B$4,0)</f>
        <v>825000</v>
      </c>
      <c r="F13" s="261" t="n">
        <f aca="false">IF(AND(2031&gt;=(2029),2031&lt;=(2029+$B$4-1)),$D$7/$B$4,0)</f>
        <v>825000</v>
      </c>
      <c r="G13" s="261" t="n">
        <f aca="false">IF(AND(2032&gt;=(2029),2032&lt;=(2029+$B$4-1)),$D$7/$B$4,0)</f>
        <v>825000</v>
      </c>
      <c r="H13" s="261" t="n">
        <f aca="false">IF(AND(2033&gt;=(2029),2033&lt;=(2029+$B$4-1)),$D$7/$B$4,0)</f>
        <v>825000</v>
      </c>
      <c r="I13" s="261" t="n">
        <f aca="false">IF(AND(2034&gt;=(2029),2034&lt;=(2029+$B$4-1)),$D$7/$B$4,0)</f>
        <v>825000</v>
      </c>
      <c r="J13" s="261" t="n">
        <f aca="false">IF(AND(2035&gt;=(2029),2035&lt;=(2029+$B$4-1)),$D$7/$B$4,0)</f>
        <v>825000</v>
      </c>
    </row>
    <row r="14" customFormat="false" ht="15" hidden="false" customHeight="true" outlineLevel="0" collapsed="false">
      <c r="A14" s="225" t="s">
        <v>1557</v>
      </c>
      <c r="B14" s="261" t="n">
        <f aca="false">IF(AND(2027&gt;=(2030),2027&lt;=(2030+$B$4-1)),$E$7/$B$4,0)</f>
        <v>0</v>
      </c>
      <c r="C14" s="261" t="n">
        <f aca="false">IF(AND(2028&gt;=(2030),2028&lt;=(2030+$B$4-1)),$E$7/$B$4,0)</f>
        <v>0</v>
      </c>
      <c r="D14" s="261" t="n">
        <f aca="false">IF(AND(2029&gt;=(2030),2029&lt;=(2030+$B$4-1)),$E$7/$B$4,0)</f>
        <v>0</v>
      </c>
      <c r="E14" s="261" t="n">
        <f aca="false">IF(AND(2030&gt;=(2030),2030&lt;=(2030+$B$4-1)),$E$7/$B$4,0)</f>
        <v>64937.5</v>
      </c>
      <c r="F14" s="261" t="n">
        <f aca="false">IF(AND(2031&gt;=(2030),2031&lt;=(2030+$B$4-1)),$E$7/$B$4,0)</f>
        <v>64937.5</v>
      </c>
      <c r="G14" s="261" t="n">
        <f aca="false">IF(AND(2032&gt;=(2030),2032&lt;=(2030+$B$4-1)),$E$7/$B$4,0)</f>
        <v>64937.5</v>
      </c>
      <c r="H14" s="261" t="n">
        <f aca="false">IF(AND(2033&gt;=(2030),2033&lt;=(2030+$B$4-1)),$E$7/$B$4,0)</f>
        <v>64937.5</v>
      </c>
      <c r="I14" s="261" t="n">
        <f aca="false">IF(AND(2034&gt;=(2030),2034&lt;=(2030+$B$4-1)),$E$7/$B$4,0)</f>
        <v>64937.5</v>
      </c>
      <c r="J14" s="261" t="n">
        <f aca="false">IF(AND(2035&gt;=(2030),2035&lt;=(2030+$B$4-1)),$E$7/$B$4,0)</f>
        <v>64937.5</v>
      </c>
    </row>
    <row r="15" customFormat="false" ht="15" hidden="false" customHeight="true" outlineLevel="0" collapsed="false">
      <c r="A15" s="172" t="s">
        <v>1558</v>
      </c>
      <c r="B15" s="299" t="n">
        <f aca="false">SUM(B11:B14)</f>
        <v>462500</v>
      </c>
      <c r="C15" s="299" t="n">
        <f aca="false">SUM(C11:C14)</f>
        <v>1525000</v>
      </c>
      <c r="D15" s="299" t="n">
        <f aca="false">SUM(D11:D14)</f>
        <v>2350000</v>
      </c>
      <c r="E15" s="299" t="n">
        <f aca="false">SUM(E11:E14)</f>
        <v>2414937.5</v>
      </c>
      <c r="F15" s="299" t="n">
        <f aca="false">SUM(F11:F14)</f>
        <v>2414937.5</v>
      </c>
      <c r="G15" s="299" t="n">
        <f aca="false">SUM(G11:G14)</f>
        <v>2414937.5</v>
      </c>
      <c r="H15" s="299" t="n">
        <f aca="false">SUM(H11:H14)</f>
        <v>2414937.5</v>
      </c>
      <c r="I15" s="299" t="n">
        <f aca="false">SUM(I11:I14)</f>
        <v>2414937.5</v>
      </c>
      <c r="J15" s="299" t="n">
        <f aca="false">SUM(J11:J14)</f>
        <v>1952437.5</v>
      </c>
    </row>
    <row r="16" customFormat="false" ht="15" hidden="false" customHeight="true" outlineLevel="0" collapsed="false">
      <c r="A16" s="210" t="s">
        <v>1559</v>
      </c>
      <c r="B16" s="171" t="n">
        <f aca="false">B15</f>
        <v>462500</v>
      </c>
      <c r="C16" s="171" t="n">
        <f aca="false">B16+C15</f>
        <v>1987500</v>
      </c>
      <c r="D16" s="171" t="n">
        <f aca="false">C16+D15</f>
        <v>4337500</v>
      </c>
      <c r="E16" s="171" t="n">
        <f aca="false">D16+E15</f>
        <v>6752437.5</v>
      </c>
      <c r="F16" s="171" t="n">
        <f aca="false">E16+F15</f>
        <v>9167375</v>
      </c>
      <c r="G16" s="171" t="n">
        <f aca="false">F16+G15</f>
        <v>11582312.5</v>
      </c>
      <c r="H16" s="171" t="n">
        <f aca="false">G16+H15</f>
        <v>13997250</v>
      </c>
      <c r="I16" s="171" t="n">
        <f aca="false">H16+I15</f>
        <v>16412187.5</v>
      </c>
      <c r="J16" s="171" t="n">
        <f aca="false">I16+J15</f>
        <v>18364625</v>
      </c>
    </row>
    <row r="17" customFormat="false" ht="15" hidden="false" customHeight="true" outlineLevel="0" collapsed="false">
      <c r="A17" s="212" t="s">
        <v>1560</v>
      </c>
      <c r="B17" s="266" t="n">
        <f aca="false">B8-B16</f>
        <v>3237500</v>
      </c>
      <c r="C17" s="266" t="n">
        <f aca="false">C8-C16</f>
        <v>10212500</v>
      </c>
      <c r="D17" s="266" t="n">
        <f aca="false">D8-D16</f>
        <v>14462500</v>
      </c>
      <c r="E17" s="266" t="n">
        <f aca="false">E8-E16</f>
        <v>12567062.5</v>
      </c>
      <c r="F17" s="266" t="n">
        <f aca="false">F8-F16</f>
        <v>10152125</v>
      </c>
      <c r="G17" s="266" t="n">
        <f aca="false">G8-G16</f>
        <v>7737187.5</v>
      </c>
      <c r="H17" s="266" t="n">
        <f aca="false">H8-H16</f>
        <v>5322250</v>
      </c>
      <c r="I17" s="266" t="n">
        <f aca="false">I8-I16</f>
        <v>2907312.5</v>
      </c>
      <c r="J17" s="266" t="n">
        <f aca="false">J8-J16</f>
        <v>954875</v>
      </c>
    </row>
    <row r="19" customFormat="false" ht="15" hidden="false" customHeight="true" outlineLevel="0" collapsed="false">
      <c r="A19" s="371" t="s">
        <v>1561</v>
      </c>
      <c r="B19" s="372" t="n">
        <v>0</v>
      </c>
      <c r="C19" s="372" t="n">
        <v>0</v>
      </c>
      <c r="D19" s="372" t="n">
        <v>0</v>
      </c>
      <c r="E19" s="372" t="n">
        <v>0</v>
      </c>
      <c r="F19" s="372" t="n">
        <v>0</v>
      </c>
      <c r="G19" s="372" t="n">
        <v>0</v>
      </c>
      <c r="H19" s="372" t="n">
        <v>0</v>
      </c>
      <c r="I19" s="372" t="n">
        <v>0</v>
      </c>
      <c r="J19" s="372" t="n">
        <v>0</v>
      </c>
    </row>
    <row r="21" customFormat="false" ht="42" hidden="false" customHeight="true" outlineLevel="0" collapsed="false">
      <c r="A21" s="165" t="s">
        <v>1562</v>
      </c>
      <c r="B21" s="165"/>
      <c r="C21" s="165"/>
      <c r="D21" s="165"/>
      <c r="E21" s="165"/>
      <c r="F21" s="165"/>
      <c r="G21" s="165"/>
      <c r="H21" s="165"/>
      <c r="I21" s="165"/>
      <c r="J21" s="165"/>
    </row>
  </sheetData>
  <mergeCells count="3">
    <mergeCell ref="A1:J1"/>
    <mergeCell ref="A2:J2"/>
    <mergeCell ref="A21:J21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40"/>
    <col collapsed="false" customWidth="true" hidden="false" outlineLevel="0" max="10" min="2" style="1" width="15"/>
  </cols>
  <sheetData>
    <row r="1" customFormat="false" ht="17.25" hidden="false" customHeight="true" outlineLevel="0" collapsed="false">
      <c r="A1" s="244" t="s">
        <v>1563</v>
      </c>
      <c r="B1" s="244"/>
      <c r="C1" s="244"/>
      <c r="D1" s="244"/>
      <c r="E1" s="244"/>
      <c r="F1" s="244"/>
      <c r="G1" s="244"/>
      <c r="H1" s="244"/>
      <c r="I1" s="244"/>
      <c r="J1" s="244"/>
    </row>
    <row r="2" customFormat="false" ht="15" hidden="false" customHeight="true" outlineLevel="0" collapsed="false">
      <c r="A2" s="4" t="s">
        <v>1564</v>
      </c>
      <c r="B2" s="4"/>
      <c r="C2" s="4"/>
      <c r="D2" s="4"/>
      <c r="E2" s="4"/>
      <c r="F2" s="4"/>
      <c r="G2" s="4"/>
      <c r="H2" s="4"/>
      <c r="I2" s="4"/>
      <c r="J2" s="4"/>
    </row>
    <row r="4" customFormat="false" ht="15" hidden="false" customHeight="true" outlineLevel="0" collapsed="false">
      <c r="A4" s="162" t="s">
        <v>1565</v>
      </c>
      <c r="B4" s="173" t="n">
        <v>0.3</v>
      </c>
    </row>
    <row r="5" customFormat="false" ht="15" hidden="false" customHeight="true" outlineLevel="0" collapsed="false">
      <c r="A5" s="162" t="s">
        <v>1566</v>
      </c>
      <c r="B5" s="173" t="n">
        <v>0.2</v>
      </c>
    </row>
    <row r="6" customFormat="false" ht="15" hidden="false" customHeight="true" outlineLevel="0" collapsed="false">
      <c r="A6" s="162" t="s">
        <v>1567</v>
      </c>
      <c r="B6" s="173" t="n">
        <v>0.15</v>
      </c>
    </row>
    <row r="7" customFormat="false" ht="15" hidden="false" customHeight="true" outlineLevel="0" collapsed="false">
      <c r="A7" s="162" t="s">
        <v>1568</v>
      </c>
      <c r="B7" s="174" t="n">
        <v>2</v>
      </c>
    </row>
    <row r="9" customFormat="false" ht="15" hidden="false" customHeight="true" outlineLevel="0" collapsed="false">
      <c r="A9" s="159"/>
      <c r="B9" s="139" t="n">
        <v>2027</v>
      </c>
      <c r="C9" s="139" t="n">
        <v>2028</v>
      </c>
      <c r="D9" s="139" t="n">
        <v>2029</v>
      </c>
      <c r="E9" s="139" t="n">
        <v>2030</v>
      </c>
      <c r="F9" s="139" t="n">
        <v>2031</v>
      </c>
      <c r="G9" s="139" t="n">
        <v>2032</v>
      </c>
      <c r="H9" s="139" t="n">
        <v>2033</v>
      </c>
      <c r="I9" s="139" t="n">
        <v>2034</v>
      </c>
      <c r="J9" s="139" t="n">
        <v>2035</v>
      </c>
    </row>
    <row r="10" customFormat="false" ht="15" hidden="false" customHeight="true" outlineLevel="0" collapsed="false">
      <c r="A10" s="225" t="s">
        <v>1569</v>
      </c>
      <c r="B10" s="261" t="n">
        <f aca="false">'05 P&amp;L'!B12</f>
        <v>0</v>
      </c>
      <c r="C10" s="261" t="n">
        <f aca="false">'05 P&amp;L'!C12</f>
        <v>7425000</v>
      </c>
      <c r="D10" s="261" t="n">
        <f aca="false">'05 P&amp;L'!D12</f>
        <v>20480000</v>
      </c>
      <c r="E10" s="261" t="n">
        <f aca="false">'05 P&amp;L'!E12</f>
        <v>36555000</v>
      </c>
      <c r="F10" s="261" t="n">
        <f aca="false">'05 P&amp;L'!F12</f>
        <v>53855000</v>
      </c>
      <c r="G10" s="261" t="n">
        <f aca="false">'05 P&amp;L'!G12</f>
        <v>71230000</v>
      </c>
      <c r="H10" s="261" t="n">
        <f aca="false">'05 P&amp;L'!H12</f>
        <v>85905000</v>
      </c>
      <c r="I10" s="261" t="n">
        <f aca="false">'05 P&amp;L'!I12</f>
        <v>97380000</v>
      </c>
      <c r="J10" s="261" t="n">
        <f aca="false">'05 P&amp;L'!J12</f>
        <v>108255000</v>
      </c>
    </row>
    <row r="11" customFormat="false" ht="15" hidden="false" customHeight="true" outlineLevel="0" collapsed="false">
      <c r="A11" s="12" t="s">
        <v>1570</v>
      </c>
      <c r="B11" s="226" t="n">
        <f aca="false">B10*(1-$B$4)*(1-$B$5)</f>
        <v>0</v>
      </c>
      <c r="C11" s="226" t="n">
        <f aca="false">C10*(1-$B$4)*(1-$B$5)</f>
        <v>4158000</v>
      </c>
      <c r="D11" s="226" t="n">
        <f aca="false">D10*(1-$B$4)*(1-$B$5)</f>
        <v>11468800</v>
      </c>
      <c r="E11" s="226" t="n">
        <f aca="false">E10*(1-$B$4)*(1-$B$5)</f>
        <v>20470800</v>
      </c>
      <c r="F11" s="226" t="n">
        <f aca="false">F10*(1-$B$4)*(1-$B$5)</f>
        <v>30158800</v>
      </c>
      <c r="G11" s="226" t="n">
        <f aca="false">G10*(1-$B$4)*(1-$B$5)</f>
        <v>39888800</v>
      </c>
      <c r="H11" s="226" t="n">
        <f aca="false">H10*(1-$B$4)*(1-$B$5)</f>
        <v>48106800</v>
      </c>
      <c r="I11" s="226" t="n">
        <f aca="false">I10*(1-$B$4)*(1-$B$5)</f>
        <v>54532800</v>
      </c>
      <c r="J11" s="226" t="n">
        <f aca="false">J10*(1-$B$4)*(1-$B$5)</f>
        <v>60622800</v>
      </c>
    </row>
    <row r="12" customFormat="false" ht="15" hidden="false" customHeight="true" outlineLevel="0" collapsed="false">
      <c r="A12" s="225" t="s">
        <v>1571</v>
      </c>
      <c r="B12" s="261" t="n">
        <f aca="false">'05 P&amp;L'!B24</f>
        <v>-2070000</v>
      </c>
      <c r="C12" s="261" t="n">
        <f aca="false">'05 P&amp;L'!C24</f>
        <v>2763651.92857143</v>
      </c>
      <c r="D12" s="261" t="n">
        <f aca="false">'05 P&amp;L'!D24</f>
        <v>10807295.7857143</v>
      </c>
      <c r="E12" s="261" t="n">
        <f aca="false">'05 P&amp;L'!E24</f>
        <v>22598238.5</v>
      </c>
      <c r="F12" s="261" t="n">
        <f aca="false">'05 P&amp;L'!F24</f>
        <v>34215929.3571429</v>
      </c>
      <c r="G12" s="261" t="n">
        <f aca="false">'05 P&amp;L'!G24</f>
        <v>47488488.7857143</v>
      </c>
      <c r="H12" s="261" t="n">
        <f aca="false">'05 P&amp;L'!H24</f>
        <v>59700406.7857143</v>
      </c>
      <c r="I12" s="261" t="n">
        <f aca="false">'05 P&amp;L'!I24</f>
        <v>68816987.6428571</v>
      </c>
      <c r="J12" s="261" t="n">
        <f aca="false">'05 P&amp;L'!J24</f>
        <v>77144024.9285714</v>
      </c>
    </row>
    <row r="13" customFormat="false" ht="15" hidden="false" customHeight="true" outlineLevel="0" collapsed="false">
      <c r="A13" s="12" t="s">
        <v>1572</v>
      </c>
      <c r="B13" s="226" t="n">
        <f aca="false">B11-(B10-B12)*(1+$B$6)</f>
        <v>-2380500</v>
      </c>
      <c r="C13" s="226" t="n">
        <f aca="false">C11-(C10-C12)*(1+$B$6)</f>
        <v>-1202550.28214286</v>
      </c>
      <c r="D13" s="226" t="n">
        <f aca="false">D11-(D10-D12)*(1+$B$6)</f>
        <v>345190.153571429</v>
      </c>
      <c r="E13" s="226" t="n">
        <f aca="false">E11-(E10-E12)*(1+$B$6)</f>
        <v>4420524.275</v>
      </c>
      <c r="F13" s="226" t="n">
        <f aca="false">F11-(F10-F12)*(1+$B$6)</f>
        <v>7573868.76071429</v>
      </c>
      <c r="G13" s="226" t="n">
        <f aca="false">G11-(G10-G12)*(1+$B$6)</f>
        <v>12586062.1035714</v>
      </c>
      <c r="H13" s="226" t="n">
        <f aca="false">H11-(H10-H12)*(1+$B$6)</f>
        <v>17971517.8035714</v>
      </c>
      <c r="I13" s="226" t="n">
        <f aca="false">I11-(I10-I12)*(1+$B$6)</f>
        <v>21685335.7892857</v>
      </c>
      <c r="J13" s="226" t="n">
        <f aca="false">J11-(J10-J12)*(1+$B$6)</f>
        <v>24845178.6678571</v>
      </c>
    </row>
    <row r="14" customFormat="false" ht="15" hidden="false" customHeight="true" outlineLevel="0" collapsed="false">
      <c r="A14" s="210" t="s">
        <v>1573</v>
      </c>
      <c r="B14" s="373" t="n">
        <f aca="false">B13-B12</f>
        <v>-310500</v>
      </c>
      <c r="C14" s="373" t="n">
        <f aca="false">C13-C12</f>
        <v>-3966202.21071429</v>
      </c>
      <c r="D14" s="373" t="n">
        <f aca="false">D13-D12</f>
        <v>-10462105.6321429</v>
      </c>
      <c r="E14" s="373" t="n">
        <f aca="false">E13-E12</f>
        <v>-18177714.225</v>
      </c>
      <c r="F14" s="373" t="n">
        <f aca="false">F13-F12</f>
        <v>-26642060.5964286</v>
      </c>
      <c r="G14" s="373" t="n">
        <f aca="false">G13-G12</f>
        <v>-34902426.6821429</v>
      </c>
      <c r="H14" s="373" t="n">
        <f aca="false">H13-H12</f>
        <v>-41728888.9821429</v>
      </c>
      <c r="I14" s="373" t="n">
        <f aca="false">I13-I12</f>
        <v>-47131651.8535714</v>
      </c>
      <c r="J14" s="373" t="n">
        <f aca="false">J13-J12</f>
        <v>-52298846.2607143</v>
      </c>
    </row>
    <row r="15" customFormat="false" ht="15" hidden="false" customHeight="true" outlineLevel="0" collapsed="false">
      <c r="A15" s="374" t="s">
        <v>1574</v>
      </c>
      <c r="B15" s="375" t="n">
        <f aca="false">B13</f>
        <v>-2380500</v>
      </c>
      <c r="C15" s="375" t="n">
        <f aca="false">B15+C13</f>
        <v>-3583050.28214286</v>
      </c>
      <c r="D15" s="375" t="n">
        <f aca="false">C15+D13</f>
        <v>-3237860.12857143</v>
      </c>
      <c r="E15" s="375" t="n">
        <f aca="false">D15+E13</f>
        <v>1182664.14642857</v>
      </c>
      <c r="F15" s="375" t="n">
        <f aca="false">E15+F13</f>
        <v>8756532.90714286</v>
      </c>
      <c r="G15" s="375" t="n">
        <f aca="false">F15+G13</f>
        <v>21342595.0107143</v>
      </c>
      <c r="H15" s="375" t="n">
        <f aca="false">G15+H13</f>
        <v>39314112.8142857</v>
      </c>
      <c r="I15" s="375" t="n">
        <f aca="false">H15+I13</f>
        <v>60999448.6035714</v>
      </c>
      <c r="J15" s="375" t="n">
        <f aca="false">I15+J13</f>
        <v>85844627.2714286</v>
      </c>
    </row>
    <row r="17" customFormat="false" ht="15" hidden="false" customHeight="true" outlineLevel="0" collapsed="false">
      <c r="A17" s="22" t="s">
        <v>1575</v>
      </c>
      <c r="B17" s="22"/>
      <c r="C17" s="22"/>
      <c r="D17" s="22"/>
      <c r="E17" s="22"/>
      <c r="F17" s="22"/>
      <c r="G17" s="22"/>
      <c r="H17" s="22"/>
      <c r="I17" s="22"/>
      <c r="J17" s="22"/>
    </row>
    <row r="18" customFormat="false" ht="15" hidden="false" customHeight="true" outlineLevel="0" collapsed="false">
      <c r="A18" s="162" t="s">
        <v>1576</v>
      </c>
      <c r="B18" s="299" t="n">
        <f aca="false">'05 P&amp;L'!J12</f>
        <v>108255000</v>
      </c>
      <c r="D18" s="376" t="n">
        <f aca="false">J11</f>
        <v>60622800</v>
      </c>
    </row>
    <row r="19" customFormat="false" ht="15" hidden="false" customHeight="true" outlineLevel="0" collapsed="false">
      <c r="A19" s="162" t="s">
        <v>1577</v>
      </c>
      <c r="B19" s="299" t="n">
        <f aca="false">'05 P&amp;L'!J24</f>
        <v>77144024.9285714</v>
      </c>
      <c r="D19" s="376" t="n">
        <f aca="false">J13</f>
        <v>24845178.6678571</v>
      </c>
    </row>
    <row r="20" customFormat="false" ht="15" hidden="false" customHeight="true" outlineLevel="0" collapsed="false">
      <c r="A20" s="162" t="s">
        <v>1578</v>
      </c>
      <c r="B20" s="377" t="n">
        <f aca="false">J13/J11</f>
        <v>0.409832252351543</v>
      </c>
    </row>
    <row r="21" customFormat="false" ht="15" hidden="false" customHeight="true" outlineLevel="0" collapsed="false">
      <c r="A21" s="162" t="s">
        <v>1579</v>
      </c>
      <c r="B21" s="299" t="n">
        <f aca="false">MIN(B15:J15)</f>
        <v>-3583050.28214286</v>
      </c>
    </row>
    <row r="22" customFormat="false" ht="15" hidden="false" customHeight="true" outlineLevel="0" collapsed="false">
      <c r="A22" s="162" t="s">
        <v>1580</v>
      </c>
      <c r="B22" s="377" t="n">
        <f aca="false">IF($B$7=2,'09 Funding'!B52,'09 Funding'!C15)</f>
        <v>0.542374435330265</v>
      </c>
    </row>
    <row r="24" customFormat="false" ht="54" hidden="false" customHeight="true" outlineLevel="0" collapsed="false">
      <c r="A24" s="158" t="s">
        <v>1581</v>
      </c>
      <c r="B24" s="158"/>
      <c r="C24" s="158"/>
      <c r="D24" s="158"/>
      <c r="E24" s="158"/>
      <c r="F24" s="158"/>
      <c r="G24" s="158"/>
      <c r="H24" s="158"/>
      <c r="I24" s="158"/>
      <c r="J24" s="158"/>
    </row>
  </sheetData>
  <mergeCells count="4">
    <mergeCell ref="A1:J1"/>
    <mergeCell ref="A2:J2"/>
    <mergeCell ref="A17:J17"/>
    <mergeCell ref="A24:J24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4"/>
    <col collapsed="false" customWidth="true" hidden="false" outlineLevel="0" max="10" min="2" style="1" width="13"/>
  </cols>
  <sheetData>
    <row r="1" customFormat="false" ht="17.25" hidden="false" customHeight="true" outlineLevel="0" collapsed="false">
      <c r="A1" s="244" t="s">
        <v>1582</v>
      </c>
      <c r="B1" s="244"/>
      <c r="C1" s="244"/>
      <c r="D1" s="244"/>
      <c r="E1" s="244"/>
      <c r="F1" s="244"/>
      <c r="G1" s="244"/>
      <c r="H1" s="244"/>
      <c r="I1" s="244"/>
      <c r="J1" s="244"/>
    </row>
    <row r="2" customFormat="false" ht="15" hidden="false" customHeight="true" outlineLevel="0" collapsed="false">
      <c r="A2" s="4" t="s">
        <v>1583</v>
      </c>
      <c r="B2" s="4"/>
      <c r="C2" s="4"/>
      <c r="D2" s="4"/>
      <c r="E2" s="4"/>
      <c r="F2" s="4"/>
      <c r="G2" s="4"/>
      <c r="H2" s="4"/>
      <c r="I2" s="4"/>
      <c r="J2" s="4"/>
    </row>
    <row r="4" customFormat="false" ht="15" hidden="false" customHeight="true" outlineLevel="0" collapsed="false">
      <c r="A4" s="162" t="s">
        <v>1584</v>
      </c>
      <c r="B4" s="173" t="n">
        <v>0.04</v>
      </c>
    </row>
    <row r="5" customFormat="false" ht="15" hidden="false" customHeight="true" outlineLevel="0" collapsed="false">
      <c r="A5" s="162" t="s">
        <v>1585</v>
      </c>
      <c r="B5" s="174" t="n">
        <v>2030</v>
      </c>
    </row>
    <row r="6" customFormat="false" ht="15" hidden="false" customHeight="true" outlineLevel="0" collapsed="false">
      <c r="A6" s="162" t="s">
        <v>1586</v>
      </c>
      <c r="B6" s="174" t="n">
        <v>5</v>
      </c>
    </row>
    <row r="7" customFormat="false" ht="15" hidden="false" customHeight="true" outlineLevel="0" collapsed="false">
      <c r="A7" s="162" t="s">
        <v>1587</v>
      </c>
      <c r="B7" s="299" t="n">
        <f aca="false">SUM('06 Cash-Flow'!B19:E19)</f>
        <v>19319500</v>
      </c>
    </row>
    <row r="9" customFormat="false" ht="15" hidden="false" customHeight="true" outlineLevel="0" collapsed="false">
      <c r="A9" s="159"/>
      <c r="B9" s="139" t="n">
        <v>2027</v>
      </c>
      <c r="C9" s="139" t="n">
        <v>2028</v>
      </c>
      <c r="D9" s="139" t="n">
        <v>2029</v>
      </c>
      <c r="E9" s="139" t="n">
        <v>2030</v>
      </c>
      <c r="F9" s="139" t="n">
        <v>2031</v>
      </c>
      <c r="G9" s="139" t="n">
        <v>2032</v>
      </c>
      <c r="H9" s="139" t="n">
        <v>2033</v>
      </c>
      <c r="I9" s="139" t="n">
        <v>2034</v>
      </c>
      <c r="J9" s="139" t="n">
        <v>2035</v>
      </c>
    </row>
    <row r="10" customFormat="false" ht="15" hidden="false" customHeight="true" outlineLevel="0" collapsed="false">
      <c r="A10" s="225" t="s">
        <v>1588</v>
      </c>
      <c r="B10" s="378" t="n">
        <f aca="false">0</f>
        <v>0</v>
      </c>
      <c r="C10" s="378" t="n">
        <f aca="false">B14</f>
        <v>3700000</v>
      </c>
      <c r="D10" s="378" t="n">
        <f aca="false">C14</f>
        <v>12200000</v>
      </c>
      <c r="E10" s="378" t="n">
        <f aca="false">D14</f>
        <v>18800000</v>
      </c>
      <c r="F10" s="378" t="n">
        <f aca="false">E14</f>
        <v>19319500</v>
      </c>
      <c r="G10" s="378" t="n">
        <f aca="false">F14</f>
        <v>15455600</v>
      </c>
      <c r="H10" s="378" t="n">
        <f aca="false">G14</f>
        <v>11591700</v>
      </c>
      <c r="I10" s="378" t="n">
        <f aca="false">H14</f>
        <v>7727800</v>
      </c>
      <c r="J10" s="378" t="n">
        <f aca="false">I14</f>
        <v>3863900</v>
      </c>
    </row>
    <row r="11" customFormat="false" ht="15" hidden="false" customHeight="true" outlineLevel="0" collapsed="false">
      <c r="A11" s="225" t="s">
        <v>1589</v>
      </c>
      <c r="B11" s="378" t="n">
        <f aca="false">'06 Cash-Flow'!B19</f>
        <v>3700000</v>
      </c>
      <c r="C11" s="378" t="n">
        <f aca="false">'06 Cash-Flow'!C19</f>
        <v>8500000</v>
      </c>
      <c r="D11" s="378" t="n">
        <f aca="false">'06 Cash-Flow'!D19</f>
        <v>6600000</v>
      </c>
      <c r="E11" s="378" t="n">
        <f aca="false">'06 Cash-Flow'!E19</f>
        <v>519500</v>
      </c>
      <c r="F11" s="378" t="n">
        <f aca="false">'06 Cash-Flow'!F19</f>
        <v>0</v>
      </c>
      <c r="G11" s="378" t="n">
        <f aca="false">'06 Cash-Flow'!G19</f>
        <v>0</v>
      </c>
      <c r="H11" s="378" t="n">
        <f aca="false">'06 Cash-Flow'!H19</f>
        <v>0</v>
      </c>
      <c r="I11" s="378" t="n">
        <f aca="false">'06 Cash-Flow'!I19</f>
        <v>0</v>
      </c>
      <c r="J11" s="378" t="n">
        <f aca="false">'06 Cash-Flow'!J19</f>
        <v>0</v>
      </c>
    </row>
    <row r="12" customFormat="false" ht="15" hidden="false" customHeight="true" outlineLevel="0" collapsed="false">
      <c r="A12" s="225" t="s">
        <v>1590</v>
      </c>
      <c r="B12" s="378" t="n">
        <f aca="false">$B$4*(B10+B11)</f>
        <v>148000</v>
      </c>
      <c r="C12" s="378" t="n">
        <f aca="false">$B$4*(C10+C11)</f>
        <v>488000</v>
      </c>
      <c r="D12" s="378" t="n">
        <f aca="false">$B$4*(D10+D11)</f>
        <v>752000</v>
      </c>
      <c r="E12" s="378" t="n">
        <f aca="false">$B$4*(E10+E11)</f>
        <v>772780</v>
      </c>
      <c r="F12" s="378" t="n">
        <f aca="false">$B$4*(F10+F11)</f>
        <v>772780</v>
      </c>
      <c r="G12" s="378" t="n">
        <f aca="false">$B$4*(G10+G11)</f>
        <v>618224</v>
      </c>
      <c r="H12" s="378" t="n">
        <f aca="false">$B$4*(H10+H11)</f>
        <v>463668</v>
      </c>
      <c r="I12" s="378" t="n">
        <f aca="false">$B$4*(I10+I11)</f>
        <v>309112</v>
      </c>
      <c r="J12" s="378" t="n">
        <f aca="false">$B$4*(J10+J11)</f>
        <v>154556</v>
      </c>
    </row>
    <row r="13" customFormat="false" ht="15" hidden="false" customHeight="true" outlineLevel="0" collapsed="false">
      <c r="A13" s="225" t="s">
        <v>1591</v>
      </c>
      <c r="B13" s="378" t="n">
        <f aca="false">-IF(2027&gt;$B$5,MIN(B10+B11,$B$7/$B$6),0)</f>
        <v>-0</v>
      </c>
      <c r="C13" s="378" t="n">
        <f aca="false">-IF(2028&gt;$B$5,MIN(C10+C11,$B$7/$B$6),0)</f>
        <v>-0</v>
      </c>
      <c r="D13" s="378" t="n">
        <f aca="false">-IF(2029&gt;$B$5,MIN(D10+D11,$B$7/$B$6),0)</f>
        <v>-0</v>
      </c>
      <c r="E13" s="378" t="n">
        <f aca="false">-IF(2030&gt;$B$5,MIN(E10+E11,$B$7/$B$6),0)</f>
        <v>-0</v>
      </c>
      <c r="F13" s="378" t="n">
        <f aca="false">-IF(2031&gt;$B$5,MIN(F10+F11,$B$7/$B$6),0)</f>
        <v>-3863900</v>
      </c>
      <c r="G13" s="378" t="n">
        <f aca="false">-IF(2032&gt;$B$5,MIN(G10+G11,$B$7/$B$6),0)</f>
        <v>-3863900</v>
      </c>
      <c r="H13" s="378" t="n">
        <f aca="false">-IF(2033&gt;$B$5,MIN(H10+H11,$B$7/$B$6),0)</f>
        <v>-3863900</v>
      </c>
      <c r="I13" s="378" t="n">
        <f aca="false">-IF(2034&gt;$B$5,MIN(I10+I11,$B$7/$B$6),0)</f>
        <v>-3863900</v>
      </c>
      <c r="J13" s="378" t="n">
        <f aca="false">-IF(2035&gt;$B$5,MIN(J10+J11,$B$7/$B$6),0)</f>
        <v>-3863900</v>
      </c>
    </row>
    <row r="14" customFormat="false" ht="15" hidden="false" customHeight="true" outlineLevel="0" collapsed="false">
      <c r="A14" s="172" t="s">
        <v>1592</v>
      </c>
      <c r="B14" s="84" t="n">
        <f aca="false">B10+B11+B13</f>
        <v>3700000</v>
      </c>
      <c r="C14" s="84" t="n">
        <f aca="false">C10+C11+C13</f>
        <v>12200000</v>
      </c>
      <c r="D14" s="84" t="n">
        <f aca="false">D10+D11+D13</f>
        <v>18800000</v>
      </c>
      <c r="E14" s="84" t="n">
        <f aca="false">E10+E11+E13</f>
        <v>19319500</v>
      </c>
      <c r="F14" s="84" t="n">
        <f aca="false">F10+F11+F13</f>
        <v>15455600</v>
      </c>
      <c r="G14" s="84" t="n">
        <f aca="false">G10+G11+G13</f>
        <v>11591700</v>
      </c>
      <c r="H14" s="84" t="n">
        <f aca="false">H10+H11+H13</f>
        <v>7727800</v>
      </c>
      <c r="I14" s="84" t="n">
        <f aca="false">I10+I11+I13</f>
        <v>3863900</v>
      </c>
      <c r="J14" s="84" t="n">
        <f aca="false">J10+J11+J13</f>
        <v>0</v>
      </c>
    </row>
    <row r="16" customFormat="false" ht="15" hidden="false" customHeight="true" outlineLevel="0" collapsed="false">
      <c r="A16" s="163" t="s">
        <v>1593</v>
      </c>
      <c r="B16" s="379" t="n">
        <f aca="false">B12-B13</f>
        <v>148000</v>
      </c>
      <c r="C16" s="379" t="n">
        <f aca="false">C12-C13</f>
        <v>488000</v>
      </c>
      <c r="D16" s="379" t="n">
        <f aca="false">D12-D13</f>
        <v>752000</v>
      </c>
      <c r="E16" s="379" t="n">
        <f aca="false">E12-E13</f>
        <v>772780</v>
      </c>
      <c r="F16" s="379" t="n">
        <f aca="false">F12-F13</f>
        <v>4636680</v>
      </c>
      <c r="G16" s="379" t="n">
        <f aca="false">G12-G13</f>
        <v>4482124</v>
      </c>
      <c r="H16" s="379" t="n">
        <f aca="false">H12-H13</f>
        <v>4327568</v>
      </c>
      <c r="I16" s="379" t="n">
        <f aca="false">I12-I13</f>
        <v>4173012</v>
      </c>
      <c r="J16" s="379" t="n">
        <f aca="false">J12-J13</f>
        <v>4018456</v>
      </c>
    </row>
    <row r="17" customFormat="false" ht="15" hidden="false" customHeight="true" outlineLevel="0" collapsed="false">
      <c r="A17" s="225" t="s">
        <v>1594</v>
      </c>
      <c r="B17" s="378" t="n">
        <f aca="false">'05 P&amp;L'!B24</f>
        <v>-2070000</v>
      </c>
      <c r="C17" s="378" t="n">
        <f aca="false">'05 P&amp;L'!C24</f>
        <v>2763651.92857143</v>
      </c>
      <c r="D17" s="378" t="n">
        <f aca="false">'05 P&amp;L'!D24</f>
        <v>10807295.7857143</v>
      </c>
      <c r="E17" s="378" t="n">
        <f aca="false">'05 P&amp;L'!E24</f>
        <v>22598238.5</v>
      </c>
      <c r="F17" s="378" t="n">
        <f aca="false">'05 P&amp;L'!F24</f>
        <v>34215929.3571429</v>
      </c>
      <c r="G17" s="378" t="n">
        <f aca="false">'05 P&amp;L'!G24</f>
        <v>47488488.7857143</v>
      </c>
      <c r="H17" s="378" t="n">
        <f aca="false">'05 P&amp;L'!H24</f>
        <v>59700406.7857143</v>
      </c>
      <c r="I17" s="378" t="n">
        <f aca="false">'05 P&amp;L'!I24</f>
        <v>68816987.6428571</v>
      </c>
      <c r="J17" s="378" t="n">
        <f aca="false">'05 P&amp;L'!J24</f>
        <v>77144024.9285714</v>
      </c>
    </row>
    <row r="18" customFormat="false" ht="15" hidden="false" customHeight="true" outlineLevel="0" collapsed="false">
      <c r="A18" s="225" t="s">
        <v>1595</v>
      </c>
      <c r="B18" s="380" t="n">
        <f aca="false">IF(B16=0,0,B17/B16)</f>
        <v>-13.9864864864865</v>
      </c>
      <c r="C18" s="380" t="n">
        <f aca="false">IF(C16=0,0,C17/C16)</f>
        <v>5.66322116510539</v>
      </c>
      <c r="D18" s="380" t="n">
        <f aca="false">IF(D16=0,0,D17/D16)</f>
        <v>14.3714039703647</v>
      </c>
      <c r="E18" s="380" t="n">
        <f aca="false">IF(E16=0,0,E17/E16)</f>
        <v>29.2427838453376</v>
      </c>
      <c r="F18" s="380" t="n">
        <f aca="false">IF(F16=0,0,F17/F16)</f>
        <v>7.37940279621256</v>
      </c>
      <c r="G18" s="380" t="n">
        <f aca="false">IF(G16=0,0,G17/G16)</f>
        <v>10.5950858980506</v>
      </c>
      <c r="H18" s="380" t="n">
        <f aca="false">IF(H16=0,0,H17/H16)</f>
        <v>13.7953711612883</v>
      </c>
      <c r="I18" s="380" t="n">
        <f aca="false">IF(I16=0,0,I17/I16)</f>
        <v>16.4909632761318</v>
      </c>
      <c r="J18" s="380" t="n">
        <f aca="false">IF(J16=0,0,J17/J16)</f>
        <v>19.1974292933832</v>
      </c>
    </row>
    <row r="20" customFormat="false" ht="48" hidden="false" customHeight="true" outlineLevel="0" collapsed="false">
      <c r="A20" s="158" t="s">
        <v>1596</v>
      </c>
      <c r="B20" s="158"/>
      <c r="C20" s="158"/>
      <c r="D20" s="158"/>
      <c r="E20" s="158"/>
      <c r="F20" s="158"/>
      <c r="G20" s="158"/>
      <c r="H20" s="158"/>
      <c r="I20" s="158"/>
      <c r="J20" s="158"/>
    </row>
  </sheetData>
  <mergeCells count="3">
    <mergeCell ref="A1:J1"/>
    <mergeCell ref="A2:J2"/>
    <mergeCell ref="A20:J20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42"/>
    <col collapsed="false" customWidth="true" hidden="false" outlineLevel="0" max="5" min="2" style="1" width="15"/>
    <col collapsed="false" customWidth="true" hidden="false" outlineLevel="0" max="10" min="6" style="1" width="16"/>
  </cols>
  <sheetData>
    <row r="1" customFormat="false" ht="17.25" hidden="false" customHeight="true" outlineLevel="0" collapsed="false">
      <c r="A1" s="45" t="s">
        <v>104</v>
      </c>
      <c r="B1" s="46"/>
      <c r="C1" s="46"/>
      <c r="D1" s="46"/>
      <c r="E1" s="46"/>
      <c r="F1" s="46"/>
      <c r="G1" s="46"/>
      <c r="H1" s="46"/>
      <c r="I1" s="46"/>
      <c r="J1" s="46"/>
    </row>
    <row r="2" customFormat="false" ht="27.75" hidden="false" customHeight="true" outlineLevel="0" collapsed="false">
      <c r="A2" s="47" t="s">
        <v>105</v>
      </c>
      <c r="B2" s="46"/>
      <c r="C2" s="46"/>
      <c r="D2" s="46"/>
      <c r="E2" s="46"/>
      <c r="F2" s="46"/>
      <c r="G2" s="46"/>
      <c r="H2" s="46"/>
      <c r="I2" s="46"/>
      <c r="J2" s="46"/>
    </row>
    <row r="3" customFormat="false" ht="15" hidden="false" customHeight="true" outlineLevel="0" collapsed="false">
      <c r="A3" s="46"/>
      <c r="B3" s="46"/>
      <c r="C3" s="46"/>
      <c r="D3" s="46"/>
      <c r="E3" s="46"/>
      <c r="F3" s="46"/>
      <c r="G3" s="46"/>
      <c r="H3" s="46"/>
      <c r="I3" s="46"/>
      <c r="J3" s="46"/>
    </row>
    <row r="4" customFormat="false" ht="15" hidden="false" customHeight="true" outlineLevel="0" collapsed="false">
      <c r="A4" s="48" t="s">
        <v>106</v>
      </c>
      <c r="B4" s="49"/>
      <c r="C4" s="49"/>
      <c r="D4" s="50"/>
      <c r="E4" s="25"/>
      <c r="F4" s="25"/>
      <c r="G4" s="25"/>
      <c r="H4" s="25"/>
      <c r="I4" s="25"/>
      <c r="J4" s="25"/>
      <c r="K4" s="1"/>
      <c r="L4" s="1"/>
    </row>
    <row r="5" customFormat="false" ht="33.75" hidden="false" customHeight="true" outlineLevel="0" collapsed="false">
      <c r="A5" s="51" t="s">
        <v>107</v>
      </c>
      <c r="B5" s="52" t="s">
        <v>108</v>
      </c>
      <c r="C5" s="52" t="s">
        <v>109</v>
      </c>
      <c r="D5" s="53" t="s">
        <v>110</v>
      </c>
      <c r="E5" s="25"/>
      <c r="F5" s="25"/>
      <c r="G5" s="25"/>
      <c r="H5" s="25"/>
      <c r="I5" s="25"/>
      <c r="J5" s="25"/>
      <c r="K5" s="1"/>
      <c r="L5" s="1"/>
    </row>
    <row r="6" customFormat="false" ht="15" hidden="false" customHeight="true" outlineLevel="0" collapsed="false">
      <c r="A6" s="54" t="s">
        <v>111</v>
      </c>
      <c r="B6" s="55" t="n">
        <v>0.12</v>
      </c>
      <c r="C6" s="56" t="s">
        <v>112</v>
      </c>
      <c r="D6" s="57" t="s">
        <v>113</v>
      </c>
      <c r="E6" s="47"/>
      <c r="F6" s="46"/>
      <c r="G6" s="46"/>
      <c r="H6" s="46"/>
      <c r="I6" s="46"/>
      <c r="J6" s="46"/>
      <c r="K6" s="1"/>
      <c r="L6" s="1"/>
    </row>
    <row r="7" customFormat="false" ht="30" hidden="false" customHeight="true" outlineLevel="0" collapsed="false">
      <c r="A7" s="54" t="s">
        <v>114</v>
      </c>
      <c r="B7" s="58" t="n">
        <v>5</v>
      </c>
      <c r="C7" s="56" t="s">
        <v>115</v>
      </c>
      <c r="D7" s="59" t="s">
        <v>113</v>
      </c>
      <c r="E7" s="25"/>
      <c r="F7" s="25"/>
      <c r="G7" s="25"/>
      <c r="H7" s="25"/>
      <c r="I7" s="25"/>
      <c r="J7" s="25"/>
      <c r="K7" s="1"/>
      <c r="L7" s="1"/>
    </row>
    <row r="8" customFormat="false" ht="15" hidden="false" customHeight="true" outlineLevel="0" collapsed="false">
      <c r="A8" s="54" t="s">
        <v>116</v>
      </c>
      <c r="B8" s="60" t="n">
        <v>30</v>
      </c>
      <c r="C8" s="56" t="s">
        <v>117</v>
      </c>
      <c r="D8" s="57" t="s">
        <v>118</v>
      </c>
      <c r="E8" s="47"/>
      <c r="F8" s="46"/>
      <c r="G8" s="46"/>
      <c r="H8" s="46"/>
      <c r="I8" s="46"/>
      <c r="J8" s="46"/>
      <c r="K8" s="1"/>
      <c r="L8" s="1"/>
    </row>
    <row r="9" customFormat="false" ht="43.5" hidden="false" customHeight="true" outlineLevel="0" collapsed="false">
      <c r="A9" s="54" t="s">
        <v>119</v>
      </c>
      <c r="B9" s="61" t="n">
        <v>1000000</v>
      </c>
      <c r="C9" s="56" t="s">
        <v>120</v>
      </c>
      <c r="D9" s="59" t="s">
        <v>113</v>
      </c>
      <c r="E9" s="25"/>
      <c r="F9" s="25"/>
      <c r="G9" s="25"/>
      <c r="H9" s="25"/>
      <c r="I9" s="25"/>
      <c r="J9" s="25"/>
      <c r="K9" s="1"/>
      <c r="L9" s="1"/>
    </row>
    <row r="10" customFormat="false" ht="15" hidden="false" customHeight="true" outlineLevel="0" collapsed="false">
      <c r="A10" s="54" t="s">
        <v>121</v>
      </c>
      <c r="B10" s="58" t="n">
        <v>1</v>
      </c>
      <c r="C10" s="56" t="s">
        <v>122</v>
      </c>
      <c r="D10" s="57" t="s">
        <v>123</v>
      </c>
      <c r="E10" s="47"/>
      <c r="F10" s="46"/>
      <c r="G10" s="46"/>
      <c r="H10" s="46"/>
      <c r="I10" s="46"/>
      <c r="J10" s="46"/>
      <c r="K10" s="1"/>
      <c r="L10" s="1"/>
    </row>
    <row r="11" customFormat="false" ht="15" hidden="false" customHeight="true" outlineLevel="0" collapsed="false">
      <c r="A11" s="54" t="s">
        <v>124</v>
      </c>
      <c r="B11" s="58" t="n">
        <v>1</v>
      </c>
      <c r="C11" s="56" t="s">
        <v>125</v>
      </c>
      <c r="D11" s="57" t="s">
        <v>113</v>
      </c>
      <c r="E11" s="47"/>
      <c r="F11" s="46"/>
      <c r="G11" s="46"/>
      <c r="H11" s="46"/>
      <c r="I11" s="46"/>
      <c r="J11" s="46"/>
      <c r="K11" s="1"/>
      <c r="L11" s="1"/>
    </row>
    <row r="12" customFormat="false" ht="15" hidden="false" customHeight="true" outlineLevel="0" collapsed="false">
      <c r="A12" s="54" t="s">
        <v>126</v>
      </c>
      <c r="B12" s="58" t="n">
        <v>1</v>
      </c>
      <c r="C12" s="56" t="s">
        <v>127</v>
      </c>
      <c r="D12" s="57" t="s">
        <v>128</v>
      </c>
      <c r="E12" s="47"/>
      <c r="F12" s="46"/>
      <c r="G12" s="46"/>
      <c r="H12" s="46"/>
      <c r="I12" s="46"/>
      <c r="J12" s="46"/>
      <c r="K12" s="1"/>
      <c r="L12" s="1"/>
    </row>
    <row r="13" customFormat="false" ht="15" hidden="false" customHeight="true" outlineLevel="0" collapsed="false">
      <c r="A13" s="48" t="s">
        <v>129</v>
      </c>
      <c r="B13" s="49"/>
      <c r="C13" s="49"/>
      <c r="D13" s="49"/>
      <c r="E13" s="49"/>
      <c r="F13" s="49"/>
      <c r="G13" s="49"/>
      <c r="H13" s="49"/>
      <c r="I13" s="49"/>
      <c r="J13" s="49"/>
    </row>
    <row r="14" customFormat="false" ht="15" hidden="false" customHeight="true" outlineLevel="0" collapsed="false">
      <c r="A14" s="51" t="s">
        <v>107</v>
      </c>
      <c r="B14" s="52" t="s">
        <v>108</v>
      </c>
      <c r="C14" s="52" t="s">
        <v>109</v>
      </c>
      <c r="D14" s="52" t="s">
        <v>110</v>
      </c>
      <c r="E14" s="62"/>
      <c r="F14" s="46"/>
      <c r="G14" s="46"/>
      <c r="H14" s="46"/>
      <c r="I14" s="46"/>
      <c r="J14" s="46"/>
    </row>
    <row r="15" customFormat="false" ht="15" hidden="false" customHeight="true" outlineLevel="0" collapsed="false">
      <c r="A15" s="54" t="s">
        <v>130</v>
      </c>
      <c r="B15" s="60" t="n">
        <v>90</v>
      </c>
      <c r="C15" s="56" t="s">
        <v>131</v>
      </c>
      <c r="D15" s="56" t="s">
        <v>132</v>
      </c>
      <c r="E15" s="47"/>
      <c r="F15" s="46"/>
      <c r="G15" s="46"/>
      <c r="H15" s="46"/>
      <c r="I15" s="46"/>
      <c r="J15" s="46"/>
    </row>
    <row r="16" customFormat="false" ht="15" hidden="false" customHeight="true" outlineLevel="0" collapsed="false">
      <c r="A16" s="54" t="s">
        <v>133</v>
      </c>
      <c r="B16" s="60" t="n">
        <v>600</v>
      </c>
      <c r="C16" s="56" t="s">
        <v>131</v>
      </c>
      <c r="D16" s="56" t="s">
        <v>132</v>
      </c>
      <c r="E16" s="47"/>
      <c r="F16" s="46"/>
      <c r="G16" s="46"/>
      <c r="H16" s="46"/>
      <c r="I16" s="46"/>
      <c r="J16" s="46"/>
    </row>
    <row r="17" customFormat="false" ht="15" hidden="false" customHeight="true" outlineLevel="0" collapsed="false">
      <c r="A17" s="54" t="s">
        <v>134</v>
      </c>
      <c r="B17" s="60" t="n">
        <v>175</v>
      </c>
      <c r="C17" s="56" t="s">
        <v>131</v>
      </c>
      <c r="D17" s="56" t="s">
        <v>132</v>
      </c>
      <c r="E17" s="47"/>
      <c r="F17" s="46"/>
      <c r="G17" s="46"/>
      <c r="H17" s="46"/>
      <c r="I17" s="46"/>
      <c r="J17" s="46"/>
    </row>
    <row r="18" customFormat="false" ht="15" hidden="false" customHeight="true" outlineLevel="0" collapsed="false">
      <c r="A18" s="54" t="s">
        <v>135</v>
      </c>
      <c r="B18" s="60" t="n">
        <v>1300</v>
      </c>
      <c r="C18" s="56" t="s">
        <v>131</v>
      </c>
      <c r="D18" s="56" t="s">
        <v>132</v>
      </c>
      <c r="E18" s="47"/>
      <c r="F18" s="46"/>
      <c r="G18" s="46"/>
      <c r="H18" s="46"/>
      <c r="I18" s="46"/>
      <c r="J18" s="46"/>
    </row>
    <row r="19" customFormat="false" ht="15" hidden="false" customHeight="true" outlineLevel="0" collapsed="false">
      <c r="A19" s="54" t="s">
        <v>136</v>
      </c>
      <c r="B19" s="55" t="n">
        <v>0.15</v>
      </c>
      <c r="C19" s="56" t="s">
        <v>112</v>
      </c>
      <c r="D19" s="56" t="s">
        <v>137</v>
      </c>
      <c r="E19" s="47"/>
      <c r="F19" s="46"/>
      <c r="G19" s="46"/>
      <c r="H19" s="46"/>
      <c r="I19" s="46"/>
      <c r="J19" s="46"/>
    </row>
    <row r="20" customFormat="false" ht="15" hidden="false" customHeight="true" outlineLevel="0" collapsed="false">
      <c r="A20" s="54" t="s">
        <v>138</v>
      </c>
      <c r="B20" s="55" t="n">
        <v>0.1</v>
      </c>
      <c r="C20" s="56" t="s">
        <v>112</v>
      </c>
      <c r="D20" s="56" t="s">
        <v>137</v>
      </c>
      <c r="E20" s="47"/>
      <c r="F20" s="46"/>
      <c r="G20" s="46"/>
      <c r="H20" s="46"/>
      <c r="I20" s="46"/>
      <c r="J20" s="46"/>
    </row>
    <row r="21" customFormat="false" ht="15" hidden="false" customHeight="true" outlineLevel="0" collapsed="false">
      <c r="A21" s="54" t="s">
        <v>139</v>
      </c>
      <c r="B21" s="60" t="n">
        <v>12</v>
      </c>
      <c r="C21" s="56" t="s">
        <v>140</v>
      </c>
      <c r="D21" s="56" t="s">
        <v>113</v>
      </c>
      <c r="E21" s="47"/>
      <c r="F21" s="46"/>
      <c r="G21" s="46"/>
      <c r="H21" s="46"/>
      <c r="I21" s="46"/>
      <c r="J21" s="46"/>
    </row>
    <row r="22" customFormat="false" ht="15" hidden="false" customHeight="true" outlineLevel="0" collapsed="false">
      <c r="A22" s="54" t="s">
        <v>141</v>
      </c>
      <c r="B22" s="63" t="n">
        <f aca="false">B15*B19+B21</f>
        <v>25.5</v>
      </c>
      <c r="C22" s="56" t="s">
        <v>140</v>
      </c>
      <c r="D22" s="56" t="s">
        <v>142</v>
      </c>
      <c r="E22" s="47"/>
      <c r="F22" s="46"/>
      <c r="G22" s="46"/>
      <c r="H22" s="46"/>
      <c r="I22" s="46"/>
      <c r="J22" s="46"/>
    </row>
    <row r="23" customFormat="false" ht="15" hidden="false" customHeight="true" outlineLevel="0" collapsed="false">
      <c r="A23" s="54" t="s">
        <v>143</v>
      </c>
      <c r="B23" s="63" t="n">
        <f aca="false">B16*B20+B21</f>
        <v>72</v>
      </c>
      <c r="C23" s="56" t="s">
        <v>140</v>
      </c>
      <c r="D23" s="56" t="s">
        <v>142</v>
      </c>
      <c r="E23" s="47"/>
      <c r="F23" s="46"/>
      <c r="G23" s="46"/>
      <c r="H23" s="46"/>
      <c r="I23" s="46"/>
      <c r="J23" s="46"/>
    </row>
    <row r="24" customFormat="false" ht="15" hidden="false" customHeight="true" outlineLevel="0" collapsed="false">
      <c r="A24" s="54" t="s">
        <v>144</v>
      </c>
      <c r="B24" s="63" t="n">
        <f aca="false">B17*B19+B21</f>
        <v>38.25</v>
      </c>
      <c r="C24" s="56" t="s">
        <v>140</v>
      </c>
      <c r="D24" s="56" t="s">
        <v>142</v>
      </c>
      <c r="E24" s="47"/>
      <c r="F24" s="46"/>
      <c r="G24" s="46"/>
      <c r="H24" s="46"/>
      <c r="I24" s="46"/>
      <c r="J24" s="46"/>
    </row>
    <row r="25" customFormat="false" ht="15" hidden="false" customHeight="true" outlineLevel="0" collapsed="false">
      <c r="A25" s="54" t="s">
        <v>145</v>
      </c>
      <c r="B25" s="63" t="n">
        <f aca="false">B18*B20+B21</f>
        <v>142</v>
      </c>
      <c r="C25" s="56" t="s">
        <v>140</v>
      </c>
      <c r="D25" s="56" t="s">
        <v>142</v>
      </c>
      <c r="E25" s="47"/>
      <c r="F25" s="46"/>
      <c r="G25" s="46"/>
      <c r="H25" s="46"/>
      <c r="I25" s="46"/>
      <c r="J25" s="46"/>
    </row>
    <row r="26" customFormat="false" ht="15" hidden="false" customHeight="true" outlineLevel="0" collapsed="false">
      <c r="A26" s="54" t="s">
        <v>146</v>
      </c>
      <c r="B26" s="60" t="n">
        <v>200</v>
      </c>
      <c r="C26" s="56" t="s">
        <v>147</v>
      </c>
      <c r="D26" s="56" t="s">
        <v>148</v>
      </c>
      <c r="E26" s="47"/>
      <c r="F26" s="46"/>
      <c r="G26" s="46"/>
      <c r="H26" s="46"/>
      <c r="I26" s="46"/>
      <c r="J26" s="46"/>
    </row>
    <row r="27" customFormat="false" ht="15" hidden="false" customHeight="true" outlineLevel="0" collapsed="false">
      <c r="A27" s="54" t="s">
        <v>149</v>
      </c>
      <c r="B27" s="60" t="n">
        <v>3920000</v>
      </c>
      <c r="C27" s="56" t="s">
        <v>150</v>
      </c>
      <c r="D27" s="56" t="s">
        <v>151</v>
      </c>
      <c r="E27" s="47"/>
      <c r="F27" s="46"/>
      <c r="G27" s="46"/>
      <c r="H27" s="46"/>
      <c r="I27" s="46"/>
      <c r="J27" s="46"/>
    </row>
    <row r="28" customFormat="false" ht="15" hidden="false" customHeight="true" outlineLevel="0" collapsed="false">
      <c r="A28" s="54" t="s">
        <v>152</v>
      </c>
      <c r="B28" s="60" t="n">
        <v>600000</v>
      </c>
      <c r="C28" s="56" t="s">
        <v>153</v>
      </c>
      <c r="D28" s="56" t="s">
        <v>151</v>
      </c>
      <c r="E28" s="47"/>
      <c r="F28" s="46"/>
      <c r="G28" s="46"/>
      <c r="H28" s="46"/>
      <c r="I28" s="46"/>
      <c r="J28" s="46"/>
    </row>
    <row r="29" customFormat="false" ht="15" hidden="false" customHeight="true" outlineLevel="0" collapsed="false">
      <c r="A29" s="54" t="s">
        <v>154</v>
      </c>
      <c r="B29" s="61" t="n">
        <v>35000000</v>
      </c>
      <c r="C29" s="56" t="s">
        <v>155</v>
      </c>
      <c r="D29" s="56" t="s">
        <v>137</v>
      </c>
      <c r="E29" s="47"/>
      <c r="F29" s="46"/>
      <c r="G29" s="46"/>
      <c r="H29" s="46"/>
      <c r="I29" s="46"/>
      <c r="J29" s="46"/>
    </row>
    <row r="30" customFormat="false" ht="15" hidden="false" customHeight="true" outlineLevel="0" collapsed="false">
      <c r="A30" s="54" t="s">
        <v>156</v>
      </c>
      <c r="B30" s="64" t="n">
        <v>1.5</v>
      </c>
      <c r="C30" s="56" t="s">
        <v>157</v>
      </c>
      <c r="D30" s="56" t="s">
        <v>158</v>
      </c>
      <c r="E30" s="47"/>
      <c r="F30" s="46"/>
      <c r="G30" s="46"/>
      <c r="H30" s="46"/>
      <c r="I30" s="46"/>
      <c r="J30" s="46"/>
    </row>
    <row r="31" customFormat="false" ht="15" hidden="false" customHeight="true" outlineLevel="0" collapsed="false">
      <c r="A31" s="54" t="s">
        <v>159</v>
      </c>
      <c r="B31" s="60" t="n">
        <v>19319500</v>
      </c>
      <c r="C31" s="56" t="s">
        <v>150</v>
      </c>
      <c r="D31" s="56" t="s">
        <v>160</v>
      </c>
      <c r="E31" s="47"/>
      <c r="F31" s="46"/>
      <c r="G31" s="46"/>
      <c r="H31" s="46"/>
      <c r="I31" s="46"/>
      <c r="J31" s="46"/>
    </row>
    <row r="32" customFormat="false" ht="18.75" hidden="false" customHeight="true" outlineLevel="0" collapsed="false">
      <c r="A32" s="54" t="s">
        <v>161</v>
      </c>
      <c r="B32" s="60" t="n">
        <v>3150000</v>
      </c>
      <c r="C32" s="56" t="s">
        <v>153</v>
      </c>
      <c r="D32" s="56" t="s">
        <v>160</v>
      </c>
      <c r="E32" s="65"/>
      <c r="F32" s="46"/>
      <c r="G32" s="46"/>
      <c r="H32" s="46"/>
      <c r="I32" s="46"/>
      <c r="J32" s="46"/>
    </row>
    <row r="33" customFormat="false" ht="15" hidden="false" customHeight="true" outlineLevel="0" collapsed="false">
      <c r="A33" s="48" t="s">
        <v>162</v>
      </c>
      <c r="B33" s="49"/>
      <c r="C33" s="49"/>
      <c r="D33" s="49"/>
      <c r="E33" s="49"/>
      <c r="F33" s="49"/>
      <c r="G33" s="49"/>
      <c r="H33" s="49"/>
      <c r="I33" s="49"/>
      <c r="J33" s="49"/>
    </row>
    <row r="34" customFormat="false" ht="15" hidden="false" customHeight="true" outlineLevel="0" collapsed="false">
      <c r="A34" s="51" t="s">
        <v>163</v>
      </c>
      <c r="B34" s="52" t="s">
        <v>164</v>
      </c>
      <c r="C34" s="52" t="s">
        <v>109</v>
      </c>
      <c r="D34" s="52" t="s">
        <v>110</v>
      </c>
      <c r="E34" s="52"/>
      <c r="F34" s="46"/>
      <c r="G34" s="46"/>
      <c r="H34" s="46"/>
      <c r="I34" s="46"/>
      <c r="J34" s="46"/>
    </row>
    <row r="35" customFormat="false" ht="15" hidden="false" customHeight="true" outlineLevel="0" collapsed="false">
      <c r="A35" s="54" t="s">
        <v>165</v>
      </c>
      <c r="B35" s="66" t="n">
        <v>4</v>
      </c>
      <c r="C35" s="56" t="s">
        <v>115</v>
      </c>
      <c r="D35" s="56" t="s">
        <v>113</v>
      </c>
      <c r="E35" s="56"/>
      <c r="F35" s="46"/>
      <c r="G35" s="46"/>
      <c r="H35" s="46"/>
      <c r="I35" s="46"/>
      <c r="J35" s="46"/>
    </row>
    <row r="36" customFormat="false" ht="15" hidden="false" customHeight="true" outlineLevel="0" collapsed="false">
      <c r="A36" s="54" t="s">
        <v>166</v>
      </c>
      <c r="B36" s="66" t="n">
        <v>5</v>
      </c>
      <c r="C36" s="56" t="s">
        <v>115</v>
      </c>
      <c r="D36" s="56" t="s">
        <v>158</v>
      </c>
      <c r="E36" s="63" t="n">
        <f aca="false">B27/B36</f>
        <v>784000</v>
      </c>
      <c r="F36" s="46"/>
      <c r="G36" s="46"/>
      <c r="H36" s="46"/>
      <c r="I36" s="46"/>
      <c r="J36" s="46"/>
    </row>
    <row r="37" customFormat="false" ht="15" hidden="false" customHeight="true" outlineLevel="0" collapsed="false">
      <c r="A37" s="54" t="s">
        <v>167</v>
      </c>
      <c r="B37" s="66" t="n">
        <v>7</v>
      </c>
      <c r="C37" s="56" t="s">
        <v>115</v>
      </c>
      <c r="D37" s="56" t="s">
        <v>113</v>
      </c>
      <c r="E37" s="56"/>
      <c r="F37" s="46"/>
      <c r="G37" s="46"/>
      <c r="H37" s="46"/>
      <c r="I37" s="46"/>
      <c r="J37" s="46"/>
    </row>
    <row r="38" customFormat="false" ht="15" hidden="false" customHeight="true" outlineLevel="0" collapsed="false">
      <c r="A38" s="54" t="s">
        <v>168</v>
      </c>
      <c r="B38" s="66" t="n">
        <v>7</v>
      </c>
      <c r="C38" s="56" t="s">
        <v>115</v>
      </c>
      <c r="D38" s="56" t="s">
        <v>113</v>
      </c>
      <c r="E38" s="63" t="n">
        <f aca="false">B31/B38</f>
        <v>2759928.57142857</v>
      </c>
      <c r="F38" s="46"/>
      <c r="G38" s="46"/>
      <c r="H38" s="46"/>
      <c r="I38" s="46"/>
      <c r="J38" s="46"/>
    </row>
    <row r="39" customFormat="false" ht="15" hidden="false" customHeight="true" outlineLevel="0" collapsed="false">
      <c r="A39" s="54" t="s">
        <v>169</v>
      </c>
      <c r="B39" s="66" t="n">
        <v>5</v>
      </c>
      <c r="C39" s="56" t="s">
        <v>115</v>
      </c>
      <c r="D39" s="56" t="s">
        <v>113</v>
      </c>
      <c r="E39" s="56"/>
      <c r="F39" s="46"/>
      <c r="G39" s="46"/>
      <c r="H39" s="46"/>
      <c r="I39" s="46"/>
      <c r="J39" s="46"/>
    </row>
    <row r="40" customFormat="false" ht="15" hidden="false" customHeight="true" outlineLevel="0" collapsed="false">
      <c r="A40" s="54" t="s">
        <v>170</v>
      </c>
      <c r="B40" s="66" t="n">
        <v>10</v>
      </c>
      <c r="C40" s="56" t="s">
        <v>115</v>
      </c>
      <c r="D40" s="56" t="s">
        <v>113</v>
      </c>
      <c r="E40" s="56"/>
      <c r="F40" s="46"/>
      <c r="G40" s="46"/>
      <c r="H40" s="46"/>
      <c r="I40" s="46"/>
      <c r="J40" s="46"/>
    </row>
    <row r="41" customFormat="false" ht="15" hidden="false" customHeight="true" outlineLevel="0" collapsed="false">
      <c r="A41" s="54" t="s">
        <v>171</v>
      </c>
      <c r="B41" s="66" t="n">
        <v>5</v>
      </c>
      <c r="C41" s="56" t="s">
        <v>115</v>
      </c>
      <c r="D41" s="56" t="s">
        <v>113</v>
      </c>
      <c r="E41" s="56"/>
      <c r="F41" s="46"/>
      <c r="G41" s="46"/>
      <c r="H41" s="46"/>
      <c r="I41" s="46"/>
      <c r="J41" s="46"/>
    </row>
    <row r="42" customFormat="false" ht="15" hidden="false" customHeight="true" outlineLevel="0" collapsed="false">
      <c r="A42" s="54" t="s">
        <v>172</v>
      </c>
      <c r="B42" s="66" t="n">
        <v>10</v>
      </c>
      <c r="C42" s="56" t="s">
        <v>115</v>
      </c>
      <c r="D42" s="56" t="s">
        <v>113</v>
      </c>
      <c r="E42" s="56"/>
      <c r="F42" s="46"/>
      <c r="G42" s="46"/>
      <c r="H42" s="46"/>
      <c r="I42" s="46"/>
      <c r="J42" s="46"/>
    </row>
    <row r="43" customFormat="false" ht="15" hidden="false" customHeight="true" outlineLevel="0" collapsed="false">
      <c r="A43" s="48" t="s">
        <v>173</v>
      </c>
      <c r="B43" s="49"/>
      <c r="C43" s="49"/>
      <c r="D43" s="49"/>
      <c r="E43" s="49"/>
      <c r="F43" s="49"/>
      <c r="G43" s="49"/>
      <c r="H43" s="49"/>
      <c r="I43" s="49"/>
      <c r="J43" s="49"/>
    </row>
    <row r="44" customFormat="false" ht="15" hidden="false" customHeight="true" outlineLevel="0" collapsed="false">
      <c r="A44" s="51" t="s">
        <v>174</v>
      </c>
      <c r="B44" s="52" t="s">
        <v>175</v>
      </c>
      <c r="C44" s="52" t="s">
        <v>176</v>
      </c>
      <c r="D44" s="52" t="s">
        <v>177</v>
      </c>
      <c r="E44" s="52" t="s">
        <v>178</v>
      </c>
      <c r="F44" s="52" t="s">
        <v>179</v>
      </c>
      <c r="G44" s="52" t="s">
        <v>180</v>
      </c>
      <c r="H44" s="52" t="s">
        <v>181</v>
      </c>
      <c r="I44" s="62"/>
      <c r="J44" s="46"/>
    </row>
    <row r="45" customFormat="false" ht="18.75" hidden="false" customHeight="true" outlineLevel="0" collapsed="false">
      <c r="A45" s="54" t="s">
        <v>182</v>
      </c>
      <c r="B45" s="61" t="n">
        <v>8</v>
      </c>
      <c r="C45" s="61" t="n">
        <v>0</v>
      </c>
      <c r="D45" s="61" t="n">
        <v>0</v>
      </c>
      <c r="E45" s="61" t="n">
        <v>6</v>
      </c>
      <c r="F45" s="55" t="n">
        <v>0.2</v>
      </c>
      <c r="G45" s="58" t="n">
        <v>2</v>
      </c>
      <c r="H45" s="61" t="n">
        <v>0</v>
      </c>
      <c r="I45" s="47"/>
      <c r="J45" s="46"/>
    </row>
    <row r="46" customFormat="false" ht="18.75" hidden="false" customHeight="true" outlineLevel="0" collapsed="false">
      <c r="A46" s="54" t="s">
        <v>183</v>
      </c>
      <c r="B46" s="61" t="n">
        <v>0</v>
      </c>
      <c r="C46" s="61" t="n">
        <v>0</v>
      </c>
      <c r="D46" s="61" t="n">
        <v>0</v>
      </c>
      <c r="E46" s="61" t="n">
        <v>0</v>
      </c>
      <c r="F46" s="55" t="n">
        <v>0</v>
      </c>
      <c r="G46" s="58" t="n">
        <v>0</v>
      </c>
      <c r="H46" s="61" t="n">
        <v>0</v>
      </c>
      <c r="I46" s="47"/>
      <c r="J46" s="46"/>
    </row>
    <row r="47" customFormat="false" ht="15" hidden="false" customHeight="true" outlineLevel="0" collapsed="false">
      <c r="A47" s="54" t="s">
        <v>184</v>
      </c>
      <c r="B47" s="61" t="n">
        <v>40</v>
      </c>
      <c r="C47" s="61" t="n">
        <v>12</v>
      </c>
      <c r="D47" s="61" t="n">
        <v>4</v>
      </c>
      <c r="E47" s="61" t="n">
        <v>12</v>
      </c>
      <c r="F47" s="55" t="n">
        <v>0.3</v>
      </c>
      <c r="G47" s="58" t="n">
        <v>2</v>
      </c>
      <c r="H47" s="61" t="n">
        <v>0</v>
      </c>
      <c r="I47" s="47"/>
      <c r="J47" s="46"/>
    </row>
    <row r="48" customFormat="false" ht="15" hidden="false" customHeight="true" outlineLevel="0" collapsed="false">
      <c r="A48" s="54" t="s">
        <v>185</v>
      </c>
      <c r="B48" s="61" t="n">
        <v>40</v>
      </c>
      <c r="C48" s="61" t="n">
        <v>12</v>
      </c>
      <c r="D48" s="61" t="n">
        <v>4</v>
      </c>
      <c r="E48" s="61" t="n">
        <v>12</v>
      </c>
      <c r="F48" s="55" t="n">
        <v>0.35</v>
      </c>
      <c r="G48" s="58" t="n">
        <v>2</v>
      </c>
      <c r="H48" s="61" t="n">
        <v>240</v>
      </c>
      <c r="I48" s="47"/>
      <c r="J48" s="46"/>
    </row>
    <row r="49" customFormat="false" ht="27.75" hidden="false" customHeight="true" outlineLevel="0" collapsed="false">
      <c r="A49" s="54" t="s">
        <v>186</v>
      </c>
      <c r="B49" s="61" t="n">
        <v>0</v>
      </c>
      <c r="C49" s="61" t="n">
        <v>52</v>
      </c>
      <c r="D49" s="61" t="n">
        <v>18</v>
      </c>
      <c r="E49" s="61" t="n">
        <v>0</v>
      </c>
      <c r="F49" s="55" t="n">
        <v>0</v>
      </c>
      <c r="G49" s="58" t="n">
        <v>0</v>
      </c>
      <c r="H49" s="61" t="n">
        <v>0</v>
      </c>
      <c r="I49" s="47"/>
      <c r="J49" s="46"/>
    </row>
    <row r="50" customFormat="false" ht="18.75" hidden="false" customHeight="true" outlineLevel="0" collapsed="false">
      <c r="A50" s="54" t="s">
        <v>187</v>
      </c>
      <c r="B50" s="61" t="n">
        <v>0</v>
      </c>
      <c r="C50" s="61" t="n">
        <v>0</v>
      </c>
      <c r="D50" s="61" t="n">
        <v>0</v>
      </c>
      <c r="E50" s="61" t="n">
        <v>0</v>
      </c>
      <c r="F50" s="55" t="n">
        <v>0.05</v>
      </c>
      <c r="G50" s="58" t="n">
        <v>1</v>
      </c>
      <c r="H50" s="61" t="n">
        <v>0</v>
      </c>
      <c r="I50" s="47"/>
      <c r="J50" s="46"/>
    </row>
    <row r="51" customFormat="false" ht="18.75" hidden="false" customHeight="true" outlineLevel="0" collapsed="false">
      <c r="A51" s="54" t="s">
        <v>188</v>
      </c>
      <c r="B51" s="61" t="n">
        <v>40</v>
      </c>
      <c r="C51" s="61" t="n">
        <v>20</v>
      </c>
      <c r="D51" s="61" t="n">
        <v>8</v>
      </c>
      <c r="E51" s="61" t="n">
        <v>12</v>
      </c>
      <c r="F51" s="55" t="n">
        <v>0.35</v>
      </c>
      <c r="G51" s="58" t="n">
        <v>2</v>
      </c>
      <c r="H51" s="61" t="n">
        <v>150</v>
      </c>
      <c r="I51" s="47"/>
      <c r="J51" s="46"/>
    </row>
    <row r="52" customFormat="false" ht="15" hidden="false" customHeight="true" outlineLevel="0" collapsed="false">
      <c r="A52" s="67" t="s">
        <v>189</v>
      </c>
      <c r="B52" s="68" t="n">
        <v>0.2</v>
      </c>
      <c r="C52" s="46"/>
      <c r="D52" s="46"/>
      <c r="E52" s="46"/>
      <c r="F52" s="46"/>
      <c r="G52" s="46"/>
      <c r="H52" s="46"/>
      <c r="I52" s="46"/>
      <c r="J52" s="46"/>
    </row>
    <row r="53" customFormat="false" ht="15" hidden="false" customHeight="true" outlineLevel="0" collapsed="false">
      <c r="A53" s="46"/>
      <c r="B53" s="46"/>
      <c r="C53" s="46"/>
      <c r="D53" s="46"/>
      <c r="E53" s="46"/>
      <c r="F53" s="46"/>
      <c r="G53" s="46"/>
      <c r="H53" s="46"/>
      <c r="I53" s="46"/>
      <c r="J53" s="46"/>
    </row>
    <row r="54" customFormat="false" ht="15" hidden="false" customHeight="true" outlineLevel="0" collapsed="false">
      <c r="A54" s="48" t="s">
        <v>190</v>
      </c>
      <c r="B54" s="49"/>
      <c r="C54" s="49"/>
      <c r="D54" s="49"/>
      <c r="E54" s="49"/>
      <c r="F54" s="49"/>
      <c r="G54" s="49"/>
      <c r="H54" s="49"/>
      <c r="I54" s="49"/>
      <c r="J54" s="49"/>
    </row>
    <row r="55" customFormat="false" ht="15" hidden="false" customHeight="true" outlineLevel="0" collapsed="false">
      <c r="A55" s="69" t="s">
        <v>191</v>
      </c>
      <c r="B55" s="70" t="n">
        <v>2027</v>
      </c>
      <c r="C55" s="70" t="n">
        <v>2028</v>
      </c>
      <c r="D55" s="70" t="n">
        <v>2029</v>
      </c>
      <c r="E55" s="70" t="n">
        <v>2030</v>
      </c>
      <c r="F55" s="70" t="n">
        <v>2031</v>
      </c>
      <c r="G55" s="70" t="n">
        <v>2032</v>
      </c>
      <c r="H55" s="70" t="n">
        <v>2033</v>
      </c>
      <c r="I55" s="70" t="n">
        <v>2034</v>
      </c>
      <c r="J55" s="70" t="n">
        <v>2035</v>
      </c>
    </row>
    <row r="56" customFormat="false" ht="15" hidden="false" customHeight="true" outlineLevel="0" collapsed="false">
      <c r="A56" s="54" t="s">
        <v>192</v>
      </c>
      <c r="B56" s="71" t="n">
        <v>0</v>
      </c>
      <c r="C56" s="71" t="n">
        <v>35000000</v>
      </c>
      <c r="D56" s="71" t="n">
        <v>74900000</v>
      </c>
      <c r="E56" s="71" t="n">
        <v>120900000</v>
      </c>
      <c r="F56" s="71" t="n">
        <v>161900000</v>
      </c>
      <c r="G56" s="71" t="n">
        <v>201900000</v>
      </c>
      <c r="H56" s="71" t="n">
        <v>237900000</v>
      </c>
      <c r="I56" s="71" t="n">
        <v>267900000</v>
      </c>
      <c r="J56" s="71" t="n">
        <v>294900000</v>
      </c>
    </row>
    <row r="57" customFormat="false" ht="15" hidden="false" customHeight="true" outlineLevel="0" collapsed="false">
      <c r="A57" s="54" t="s">
        <v>193</v>
      </c>
      <c r="B57" s="72" t="n">
        <v>0</v>
      </c>
      <c r="C57" s="72" t="n">
        <v>1</v>
      </c>
      <c r="D57" s="72" t="n">
        <v>7</v>
      </c>
      <c r="E57" s="72" t="n">
        <v>18</v>
      </c>
      <c r="F57" s="72" t="n">
        <v>32</v>
      </c>
      <c r="G57" s="72" t="n">
        <v>46</v>
      </c>
      <c r="H57" s="72" t="n">
        <v>56</v>
      </c>
      <c r="I57" s="72" t="n">
        <v>63</v>
      </c>
      <c r="J57" s="72" t="n">
        <v>70</v>
      </c>
    </row>
    <row r="58" customFormat="false" ht="15" hidden="false" customHeight="true" outlineLevel="0" collapsed="false">
      <c r="A58" s="23" t="s">
        <v>194</v>
      </c>
      <c r="B58" s="73" t="n">
        <v>0</v>
      </c>
      <c r="C58" s="73" t="n">
        <v>0</v>
      </c>
      <c r="D58" s="73" t="n">
        <v>3</v>
      </c>
      <c r="E58" s="73" t="n">
        <v>7</v>
      </c>
      <c r="F58" s="73" t="n">
        <v>13</v>
      </c>
      <c r="G58" s="73" t="n">
        <v>19</v>
      </c>
      <c r="H58" s="73" t="n">
        <v>24</v>
      </c>
      <c r="I58" s="73" t="n">
        <v>27</v>
      </c>
      <c r="J58" s="73" t="n">
        <v>30</v>
      </c>
    </row>
    <row r="59" customFormat="false" ht="15" hidden="false" customHeight="true" outlineLevel="0" collapsed="false">
      <c r="A59" s="54" t="s">
        <v>195</v>
      </c>
      <c r="B59" s="71" t="n">
        <v>0</v>
      </c>
      <c r="C59" s="71" t="n">
        <v>100000</v>
      </c>
      <c r="D59" s="71" t="n">
        <v>300000</v>
      </c>
      <c r="E59" s="71" t="n">
        <v>600000</v>
      </c>
      <c r="F59" s="71" t="n">
        <v>1000000</v>
      </c>
      <c r="G59" s="71" t="n">
        <v>1500000</v>
      </c>
      <c r="H59" s="71" t="n">
        <v>2000000</v>
      </c>
      <c r="I59" s="71" t="n">
        <v>2500000</v>
      </c>
      <c r="J59" s="71" t="n">
        <v>3000000</v>
      </c>
    </row>
    <row r="60" customFormat="false" ht="15" hidden="false" customHeight="true" outlineLevel="0" collapsed="false">
      <c r="A60" s="54" t="s">
        <v>196</v>
      </c>
      <c r="B60" s="71" t="n">
        <v>0</v>
      </c>
      <c r="C60" s="71" t="n">
        <v>50000</v>
      </c>
      <c r="D60" s="71" t="n">
        <v>150000</v>
      </c>
      <c r="E60" s="71" t="n">
        <v>300000</v>
      </c>
      <c r="F60" s="71" t="n">
        <v>500000</v>
      </c>
      <c r="G60" s="71" t="n">
        <v>700000</v>
      </c>
      <c r="H60" s="71" t="n">
        <v>900000</v>
      </c>
      <c r="I60" s="71" t="n">
        <v>1100000</v>
      </c>
      <c r="J60" s="71" t="n">
        <v>1300000</v>
      </c>
    </row>
    <row r="61" customFormat="false" ht="15" hidden="false" customHeight="true" outlineLevel="0" collapsed="false">
      <c r="A61" s="54" t="s">
        <v>197</v>
      </c>
      <c r="B61" s="71" t="n">
        <v>0</v>
      </c>
      <c r="C61" s="71" t="n">
        <v>0</v>
      </c>
      <c r="D61" s="71" t="n">
        <v>50000</v>
      </c>
      <c r="E61" s="71" t="n">
        <v>100000</v>
      </c>
      <c r="F61" s="71" t="n">
        <v>200000</v>
      </c>
      <c r="G61" s="71" t="n">
        <v>300000</v>
      </c>
      <c r="H61" s="71" t="n">
        <v>400000</v>
      </c>
      <c r="I61" s="71" t="n">
        <v>500000</v>
      </c>
      <c r="J61" s="71" t="n">
        <v>600000</v>
      </c>
    </row>
    <row r="62" customFormat="false" ht="15" hidden="false" customHeight="true" outlineLevel="0" collapsed="false">
      <c r="A62" s="54" t="s">
        <v>198</v>
      </c>
      <c r="B62" s="71" t="n">
        <v>0</v>
      </c>
      <c r="C62" s="71" t="n">
        <v>0</v>
      </c>
      <c r="D62" s="71" t="n">
        <v>500000000</v>
      </c>
      <c r="E62" s="71" t="n">
        <v>750000000</v>
      </c>
      <c r="F62" s="71" t="n">
        <v>1000000000</v>
      </c>
      <c r="G62" s="71" t="n">
        <v>1400000000</v>
      </c>
      <c r="H62" s="71" t="n">
        <v>1700000000</v>
      </c>
      <c r="I62" s="71" t="n">
        <v>2000000000</v>
      </c>
      <c r="J62" s="71" t="n">
        <v>2300000000</v>
      </c>
    </row>
    <row r="63" customFormat="false" ht="15" hidden="false" customHeight="true" outlineLevel="0" collapsed="false">
      <c r="A63" s="54" t="s">
        <v>199</v>
      </c>
      <c r="B63" s="71" t="n">
        <v>0</v>
      </c>
      <c r="C63" s="71" t="n">
        <v>0</v>
      </c>
      <c r="D63" s="71" t="n">
        <v>1</v>
      </c>
      <c r="E63" s="71" t="n">
        <v>2</v>
      </c>
      <c r="F63" s="71" t="n">
        <v>3</v>
      </c>
      <c r="G63" s="71" t="n">
        <v>4</v>
      </c>
      <c r="H63" s="71" t="n">
        <v>5</v>
      </c>
      <c r="I63" s="71" t="n">
        <v>6</v>
      </c>
      <c r="J63" s="71" t="n">
        <v>7</v>
      </c>
    </row>
    <row r="64" customFormat="false" ht="15" hidden="false" customHeight="true" outlineLevel="0" collapsed="false">
      <c r="A64" s="74" t="s">
        <v>200</v>
      </c>
      <c r="B64" s="46"/>
      <c r="C64" s="46"/>
      <c r="D64" s="46"/>
      <c r="E64" s="46"/>
      <c r="F64" s="46"/>
      <c r="G64" s="46"/>
      <c r="H64" s="46"/>
      <c r="I64" s="46"/>
      <c r="J64" s="46"/>
    </row>
    <row r="65" customFormat="false" ht="15" hidden="false" customHeight="true" outlineLevel="0" collapsed="false">
      <c r="A65" s="46"/>
      <c r="B65" s="46"/>
      <c r="C65" s="46"/>
      <c r="D65" s="46"/>
      <c r="E65" s="46"/>
      <c r="F65" s="46"/>
      <c r="G65" s="46"/>
      <c r="H65" s="46"/>
      <c r="I65" s="46"/>
      <c r="J65" s="46"/>
    </row>
    <row r="66" customFormat="false" ht="15" hidden="false" customHeight="true" outlineLevel="0" collapsed="false">
      <c r="A66" s="48" t="s">
        <v>201</v>
      </c>
      <c r="B66" s="49"/>
      <c r="C66" s="49"/>
      <c r="D66" s="49"/>
      <c r="E66" s="49"/>
      <c r="F66" s="49"/>
      <c r="G66" s="49"/>
      <c r="H66" s="49"/>
      <c r="I66" s="49"/>
      <c r="J66" s="49"/>
    </row>
    <row r="67" customFormat="false" ht="15" hidden="false" customHeight="true" outlineLevel="0" collapsed="false">
      <c r="A67" s="51" t="s">
        <v>202</v>
      </c>
      <c r="B67" s="52" t="s">
        <v>108</v>
      </c>
      <c r="C67" s="52" t="s">
        <v>109</v>
      </c>
      <c r="D67" s="52" t="s">
        <v>110</v>
      </c>
      <c r="E67" s="62"/>
      <c r="F67" s="46"/>
      <c r="G67" s="46"/>
      <c r="H67" s="46"/>
      <c r="I67" s="46"/>
      <c r="J67" s="46"/>
    </row>
    <row r="68" customFormat="false" ht="15" hidden="false" customHeight="true" outlineLevel="0" collapsed="false">
      <c r="A68" s="54" t="s">
        <v>203</v>
      </c>
      <c r="B68" s="75" t="n">
        <f aca="false">(B28+E36)/B29</f>
        <v>0.0395428571428571</v>
      </c>
      <c r="C68" s="56" t="s">
        <v>157</v>
      </c>
      <c r="D68" s="56" t="s">
        <v>142</v>
      </c>
      <c r="E68" s="76"/>
      <c r="F68" s="46"/>
      <c r="G68" s="46"/>
      <c r="H68" s="46"/>
      <c r="I68" s="46"/>
      <c r="J68" s="46"/>
    </row>
    <row r="69" customFormat="false" ht="27.75" hidden="false" customHeight="true" outlineLevel="0" collapsed="false">
      <c r="A69" s="46"/>
      <c r="B69" s="46"/>
      <c r="C69" s="46"/>
      <c r="D69" s="46"/>
      <c r="E69" s="46"/>
      <c r="F69" s="46"/>
      <c r="G69" s="46"/>
      <c r="H69" s="46"/>
      <c r="I69" s="46"/>
      <c r="J69" s="46"/>
    </row>
    <row r="70" customFormat="false" ht="19.5" hidden="false" customHeight="true" outlineLevel="0" collapsed="false">
      <c r="A70" s="46"/>
      <c r="B70" s="46"/>
      <c r="C70" s="46"/>
      <c r="D70" s="46"/>
      <c r="E70" s="46"/>
      <c r="F70" s="46"/>
      <c r="G70" s="46"/>
      <c r="H70" s="46"/>
      <c r="I70" s="46"/>
      <c r="J70" s="46"/>
    </row>
    <row r="71" customFormat="false" ht="15" hidden="false" customHeight="true" outlineLevel="0" collapsed="false">
      <c r="A71" s="48" t="s">
        <v>204</v>
      </c>
      <c r="B71" s="77"/>
      <c r="C71" s="77"/>
      <c r="D71" s="77"/>
      <c r="E71" s="77"/>
      <c r="F71" s="77"/>
      <c r="G71" s="77"/>
      <c r="H71" s="77"/>
      <c r="I71" s="77"/>
      <c r="J71" s="78"/>
    </row>
    <row r="72" customFormat="false" ht="15" hidden="false" customHeight="true" outlineLevel="0" collapsed="false">
      <c r="A72" s="51" t="s">
        <v>107</v>
      </c>
      <c r="B72" s="52" t="s">
        <v>108</v>
      </c>
      <c r="C72" s="52" t="s">
        <v>109</v>
      </c>
      <c r="D72" s="52" t="s">
        <v>110</v>
      </c>
      <c r="E72" s="62"/>
      <c r="F72" s="46"/>
      <c r="G72" s="46"/>
      <c r="H72" s="46"/>
      <c r="I72" s="46"/>
      <c r="J72" s="46"/>
    </row>
    <row r="73" customFormat="false" ht="15" hidden="false" customHeight="true" outlineLevel="0" collapsed="false">
      <c r="A73" s="54" t="s">
        <v>205</v>
      </c>
      <c r="B73" s="58" t="n">
        <v>120</v>
      </c>
      <c r="C73" s="56" t="s">
        <v>206</v>
      </c>
      <c r="D73" s="56" t="s">
        <v>113</v>
      </c>
      <c r="E73" s="47"/>
      <c r="F73" s="46"/>
      <c r="G73" s="46"/>
      <c r="H73" s="46"/>
      <c r="I73" s="46"/>
      <c r="J73" s="46"/>
    </row>
    <row r="74" customFormat="false" ht="15" hidden="false" customHeight="true" outlineLevel="0" collapsed="false">
      <c r="A74" s="79" t="s">
        <v>207</v>
      </c>
      <c r="B74" s="80" t="n">
        <v>60</v>
      </c>
      <c r="C74" s="76" t="s">
        <v>206</v>
      </c>
      <c r="D74" s="46"/>
      <c r="E74" s="46"/>
      <c r="F74" s="46"/>
      <c r="G74" s="46"/>
      <c r="H74" s="46"/>
      <c r="I74" s="46"/>
      <c r="J74" s="46"/>
    </row>
    <row r="75" customFormat="false" ht="15" hidden="false" customHeight="true" outlineLevel="0" collapsed="false">
      <c r="A75" s="54" t="s">
        <v>208</v>
      </c>
      <c r="B75" s="58" t="n">
        <v>45</v>
      </c>
      <c r="C75" s="56" t="s">
        <v>206</v>
      </c>
      <c r="D75" s="56" t="s">
        <v>113</v>
      </c>
      <c r="E75" s="47"/>
      <c r="F75" s="46"/>
      <c r="G75" s="46"/>
      <c r="H75" s="46"/>
      <c r="I75" s="46"/>
      <c r="J75" s="46"/>
    </row>
    <row r="76" customFormat="false" ht="15" hidden="false" customHeight="true" outlineLevel="0" collapsed="false">
      <c r="A76" s="54" t="s">
        <v>209</v>
      </c>
      <c r="B76" s="55" t="n">
        <v>0.03</v>
      </c>
      <c r="C76" s="56" t="s">
        <v>112</v>
      </c>
      <c r="D76" s="56" t="s">
        <v>113</v>
      </c>
      <c r="E76" s="47"/>
      <c r="F76" s="46"/>
      <c r="G76" s="46"/>
      <c r="H76" s="46"/>
      <c r="I76" s="46"/>
      <c r="J76" s="46"/>
    </row>
    <row r="77" customFormat="false" ht="15" hidden="false" customHeight="true" outlineLevel="0" collapsed="false">
      <c r="A77" s="54" t="s">
        <v>210</v>
      </c>
      <c r="B77" s="55" t="n">
        <v>0.05</v>
      </c>
      <c r="C77" s="56" t="s">
        <v>112</v>
      </c>
      <c r="D77" s="56" t="s">
        <v>113</v>
      </c>
      <c r="E77" s="47"/>
      <c r="F77" s="46"/>
      <c r="G77" s="46"/>
      <c r="H77" s="46"/>
      <c r="I77" s="46"/>
      <c r="J77" s="46"/>
    </row>
    <row r="78" customFormat="false" ht="15" hidden="false" customHeight="true" outlineLevel="0" collapsed="false">
      <c r="A78" s="54" t="s">
        <v>211</v>
      </c>
      <c r="B78" s="55" t="n">
        <v>0.02</v>
      </c>
      <c r="C78" s="56" t="s">
        <v>112</v>
      </c>
      <c r="D78" s="56" t="s">
        <v>113</v>
      </c>
      <c r="E78" s="47"/>
      <c r="F78" s="46"/>
      <c r="G78" s="46"/>
      <c r="H78" s="46"/>
      <c r="I78" s="46"/>
      <c r="J78" s="46"/>
    </row>
    <row r="79" customFormat="false" ht="15" hidden="false" customHeight="true" outlineLevel="0" collapsed="false">
      <c r="A79" s="54" t="s">
        <v>212</v>
      </c>
      <c r="B79" s="55" t="n">
        <v>0.4</v>
      </c>
      <c r="C79" s="56" t="s">
        <v>213</v>
      </c>
      <c r="D79" s="56" t="s">
        <v>113</v>
      </c>
      <c r="E79" s="47"/>
      <c r="F79" s="46"/>
      <c r="G79" s="46"/>
      <c r="H79" s="46"/>
      <c r="I79" s="46"/>
      <c r="J79" s="46"/>
    </row>
    <row r="80" customFormat="false" ht="15" hidden="false" customHeight="true" outlineLevel="0" collapsed="false">
      <c r="A80" s="54" t="s">
        <v>214</v>
      </c>
      <c r="B80" s="58" t="n">
        <v>3.75</v>
      </c>
      <c r="C80" s="56" t="s">
        <v>215</v>
      </c>
      <c r="D80" s="56" t="s">
        <v>113</v>
      </c>
      <c r="E80" s="47"/>
      <c r="F80" s="46"/>
      <c r="G80" s="46"/>
      <c r="H80" s="46"/>
      <c r="I80" s="46"/>
      <c r="J80" s="46"/>
    </row>
    <row r="81" customFormat="false" ht="15" hidden="false" customHeight="true" outlineLevel="0" collapsed="false">
      <c r="A81" s="79" t="s">
        <v>216</v>
      </c>
      <c r="B81" s="81" t="n">
        <v>13500000</v>
      </c>
      <c r="C81" s="76" t="s">
        <v>150</v>
      </c>
      <c r="D81" s="46"/>
      <c r="E81" s="46"/>
      <c r="F81" s="46"/>
      <c r="G81" s="46"/>
      <c r="H81" s="46"/>
      <c r="I81" s="46"/>
      <c r="J81" s="46"/>
    </row>
    <row r="82" customFormat="false" ht="15" hidden="false" customHeight="true" outlineLevel="0" collapsed="false">
      <c r="A82" s="54" t="s">
        <v>217</v>
      </c>
      <c r="B82" s="60" t="n">
        <v>3000000</v>
      </c>
      <c r="C82" s="56" t="s">
        <v>150</v>
      </c>
      <c r="D82" s="56" t="s">
        <v>113</v>
      </c>
      <c r="E82" s="47"/>
      <c r="F82" s="46"/>
      <c r="G82" s="46"/>
      <c r="H82" s="46"/>
      <c r="I82" s="46"/>
      <c r="J82" s="46"/>
    </row>
    <row r="83" customFormat="false" ht="15" hidden="false" customHeight="true" outlineLevel="0" collapsed="false">
      <c r="A83" s="54" t="s">
        <v>218</v>
      </c>
      <c r="B83" s="60" t="n">
        <v>2819500</v>
      </c>
      <c r="C83" s="56" t="s">
        <v>150</v>
      </c>
      <c r="D83" s="56" t="s">
        <v>113</v>
      </c>
      <c r="E83" s="47"/>
      <c r="F83" s="46"/>
      <c r="G83" s="46"/>
      <c r="H83" s="46"/>
      <c r="I83" s="46"/>
      <c r="J83" s="46"/>
    </row>
    <row r="84" customFormat="false" ht="15" hidden="false" customHeight="true" outlineLevel="0" collapsed="false">
      <c r="A84" s="54" t="s">
        <v>219</v>
      </c>
      <c r="B84" s="55" t="n">
        <v>0.05</v>
      </c>
      <c r="C84" s="56" t="s">
        <v>213</v>
      </c>
      <c r="D84" s="56" t="s">
        <v>220</v>
      </c>
      <c r="E84" s="47"/>
      <c r="F84" s="46"/>
      <c r="G84" s="46"/>
      <c r="H84" s="46"/>
      <c r="I84" s="46"/>
      <c r="J84" s="46"/>
    </row>
    <row r="85" customFormat="false" ht="15" hidden="false" customHeight="true" outlineLevel="0" collapsed="false">
      <c r="A85" s="54" t="s">
        <v>221</v>
      </c>
      <c r="B85" s="55" t="n">
        <v>0.1</v>
      </c>
      <c r="C85" s="56" t="s">
        <v>213</v>
      </c>
      <c r="D85" s="56" t="s">
        <v>113</v>
      </c>
      <c r="E85" s="47"/>
      <c r="F85" s="46"/>
      <c r="G85" s="46"/>
      <c r="H85" s="46"/>
      <c r="I85" s="46"/>
      <c r="J85" s="46"/>
    </row>
    <row r="86" customFormat="false" ht="15" hidden="false" customHeight="true" outlineLevel="0" collapsed="false">
      <c r="A86" s="54" t="s">
        <v>222</v>
      </c>
      <c r="B86" s="55" t="n">
        <v>0.15</v>
      </c>
      <c r="C86" s="56" t="s">
        <v>213</v>
      </c>
      <c r="D86" s="56" t="s">
        <v>223</v>
      </c>
      <c r="E86" s="47"/>
      <c r="F86" s="46"/>
      <c r="G86" s="46"/>
      <c r="H86" s="46"/>
      <c r="I86" s="46"/>
      <c r="J86" s="46"/>
    </row>
    <row r="87" customFormat="false" ht="15" hidden="false" customHeight="true" outlineLevel="0" collapsed="false">
      <c r="A87" s="54" t="s">
        <v>224</v>
      </c>
      <c r="B87" s="82" t="n">
        <v>0.15</v>
      </c>
      <c r="C87" s="77"/>
      <c r="D87" s="77"/>
      <c r="E87" s="46"/>
      <c r="F87" s="77"/>
      <c r="G87" s="77"/>
      <c r="H87" s="77"/>
      <c r="I87" s="77"/>
      <c r="J87" s="77"/>
    </row>
    <row r="88" customFormat="false" ht="15" hidden="false" customHeight="true" outlineLevel="0" collapsed="false">
      <c r="A88" s="83" t="s">
        <v>225</v>
      </c>
      <c r="B88" s="84" t="n">
        <f aca="false">B81+B82+B83</f>
        <v>19319500</v>
      </c>
      <c r="C88" s="46"/>
      <c r="D88" s="46"/>
      <c r="E88" s="46"/>
      <c r="F88" s="46"/>
      <c r="G88" s="46"/>
      <c r="H88" s="46"/>
      <c r="I88" s="46"/>
      <c r="J88" s="46"/>
    </row>
    <row r="89" customFormat="false" ht="15" hidden="false" customHeight="true" outlineLevel="0" collapsed="false">
      <c r="A89" s="48" t="s">
        <v>226</v>
      </c>
      <c r="B89" s="49"/>
      <c r="C89" s="49"/>
      <c r="D89" s="49"/>
      <c r="E89" s="49"/>
      <c r="F89" s="49"/>
      <c r="G89" s="49"/>
      <c r="H89" s="46"/>
      <c r="I89" s="46"/>
      <c r="J89" s="46"/>
    </row>
    <row r="90" customFormat="false" ht="15" hidden="false" customHeight="true" outlineLevel="0" collapsed="false">
      <c r="A90" s="69" t="s">
        <v>227</v>
      </c>
      <c r="B90" s="69" t="s">
        <v>108</v>
      </c>
      <c r="C90" s="69" t="s">
        <v>228</v>
      </c>
      <c r="D90" s="69" t="s">
        <v>229</v>
      </c>
      <c r="E90" s="69" t="s">
        <v>230</v>
      </c>
      <c r="F90" s="46"/>
      <c r="G90" s="46"/>
      <c r="H90" s="46"/>
      <c r="I90" s="46"/>
      <c r="J90" s="46"/>
    </row>
    <row r="91" customFormat="false" ht="15" hidden="false" customHeight="true" outlineLevel="0" collapsed="false">
      <c r="A91" s="54" t="s">
        <v>231</v>
      </c>
      <c r="B91" s="85" t="s">
        <v>228</v>
      </c>
      <c r="C91" s="56" t="s">
        <v>228</v>
      </c>
      <c r="D91" s="56" t="s">
        <v>232</v>
      </c>
      <c r="E91" s="65" t="s">
        <v>233</v>
      </c>
      <c r="F91" s="46"/>
      <c r="G91" s="46"/>
      <c r="H91" s="46"/>
      <c r="I91" s="46"/>
      <c r="J91" s="46"/>
    </row>
    <row r="92" customFormat="false" ht="15" hidden="false" customHeight="true" outlineLevel="0" collapsed="false">
      <c r="A92" s="54" t="s">
        <v>234</v>
      </c>
      <c r="B92" s="86" t="n">
        <v>30</v>
      </c>
      <c r="C92" s="87" t="n">
        <v>30</v>
      </c>
      <c r="D92" s="87" t="n">
        <v>8</v>
      </c>
      <c r="E92" s="65" t="s">
        <v>235</v>
      </c>
      <c r="F92" s="46"/>
      <c r="G92" s="46"/>
      <c r="H92" s="46"/>
      <c r="I92" s="46"/>
      <c r="J92" s="46"/>
    </row>
    <row r="93" customFormat="false" ht="27.75" hidden="false" customHeight="true" outlineLevel="0" collapsed="false">
      <c r="A93" s="79" t="s">
        <v>236</v>
      </c>
      <c r="B93" s="79"/>
      <c r="C93" s="79"/>
      <c r="D93" s="79"/>
      <c r="E93" s="79"/>
      <c r="F93" s="79"/>
      <c r="G93" s="79"/>
      <c r="H93" s="46"/>
      <c r="I93" s="46"/>
      <c r="J93" s="46"/>
    </row>
    <row r="94" customFormat="false" ht="15" hidden="false" customHeight="true" outlineLevel="0" collapsed="false">
      <c r="A94" s="74" t="s">
        <v>237</v>
      </c>
      <c r="B94" s="46"/>
      <c r="C94" s="46"/>
      <c r="D94" s="46"/>
      <c r="E94" s="46"/>
      <c r="F94" s="46"/>
      <c r="G94" s="46"/>
      <c r="H94" s="46"/>
      <c r="I94" s="46"/>
      <c r="J94" s="46"/>
    </row>
    <row r="95" customFormat="false" ht="15" hidden="false" customHeight="true" outlineLevel="0" collapsed="false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customFormat="false" ht="15" hidden="false" customHeight="true" outlineLevel="0" collapsed="false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customFormat="false" ht="18.75" hidden="false" customHeight="true" outlineLevel="0" collapsed="false">
      <c r="A97" s="88" t="s">
        <v>238</v>
      </c>
      <c r="B97" s="88"/>
      <c r="C97" s="88"/>
      <c r="D97" s="88"/>
      <c r="E97" s="88"/>
      <c r="F97" s="88"/>
      <c r="G97" s="88"/>
      <c r="H97" s="88"/>
      <c r="I97" s="88"/>
      <c r="J97" s="88"/>
    </row>
    <row r="98" customFormat="false" ht="27.75" hidden="false" customHeight="true" outlineLevel="0" collapsed="false">
      <c r="A98" s="89" t="s">
        <v>239</v>
      </c>
      <c r="B98" s="89"/>
      <c r="C98" s="89"/>
      <c r="D98" s="89"/>
      <c r="E98" s="89"/>
      <c r="F98" s="89"/>
      <c r="G98" s="89"/>
      <c r="H98" s="89"/>
      <c r="I98" s="89"/>
      <c r="J98" s="89"/>
    </row>
    <row r="99" customFormat="false" ht="27.75" hidden="false" customHeight="true" outlineLevel="0" collapsed="false">
      <c r="A99" s="89" t="s">
        <v>240</v>
      </c>
      <c r="B99" s="89"/>
      <c r="C99" s="89"/>
      <c r="D99" s="89"/>
      <c r="E99" s="89"/>
      <c r="F99" s="89"/>
      <c r="G99" s="89"/>
      <c r="H99" s="89"/>
      <c r="I99" s="89"/>
      <c r="J99" s="89"/>
    </row>
    <row r="100" customFormat="false" ht="39.75" hidden="false" customHeight="true" outlineLevel="0" collapsed="false">
      <c r="A100" s="90" t="s">
        <v>241</v>
      </c>
      <c r="B100" s="90"/>
      <c r="C100" s="90"/>
      <c r="D100" s="90"/>
      <c r="E100" s="90"/>
      <c r="F100" s="90"/>
      <c r="G100" s="90"/>
      <c r="H100" s="90"/>
      <c r="I100" s="90"/>
      <c r="J100" s="90"/>
    </row>
    <row r="101" customFormat="false" ht="15" hidden="false" customHeight="true" outlineLevel="0" collapsed="false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customFormat="false" ht="15" hidden="false" customHeight="true" outlineLevel="0" collapsed="false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customFormat="false" ht="15" hidden="false" customHeight="true" outlineLevel="0" collapsed="false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customFormat="false" ht="15" hidden="false" customHeight="true" outlineLevel="0" collapsed="false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customFormat="false" ht="15" hidden="false" customHeight="true" outlineLevel="0" collapsed="false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customFormat="false" ht="15" hidden="false" customHeight="true" outlineLevel="0" collapsed="false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customFormat="false" ht="15" hidden="false" customHeight="true" outlineLevel="0" collapsed="false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customFormat="false" ht="15" hidden="false" customHeight="true" outlineLevel="0" collapsed="false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customFormat="false" ht="15" hidden="false" customHeight="true" outlineLevel="0" collapsed="false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customFormat="false" ht="15" hidden="false" customHeight="true" outlineLevel="0" collapsed="false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customFormat="false" ht="15" hidden="false" customHeight="true" outlineLevel="0" collapsed="false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customFormat="false" ht="15" hidden="false" customHeight="true" outlineLevel="0" collapsed="false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customFormat="false" ht="15" hidden="false" customHeight="true" outlineLevel="0" collapsed="false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customFormat="false" ht="15" hidden="false" customHeight="true" outlineLevel="0" collapsed="false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customFormat="false" ht="15" hidden="false" customHeight="true" outlineLevel="0" collapsed="false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customFormat="false" ht="15" hidden="false" customHeight="true" outlineLevel="0" collapsed="false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customFormat="false" ht="15" hidden="false" customHeight="true" outlineLevel="0" collapsed="false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customFormat="false" ht="15" hidden="false" customHeight="true" outlineLevel="0" collapsed="false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customFormat="false" ht="15" hidden="false" customHeight="true" outlineLevel="0" collapsed="false">
      <c r="A119" s="46"/>
      <c r="B119" s="91"/>
      <c r="C119" s="91"/>
      <c r="D119" s="91"/>
      <c r="E119" s="91"/>
      <c r="F119" s="91"/>
      <c r="G119" s="91"/>
      <c r="H119" s="91"/>
      <c r="I119" s="91"/>
      <c r="J119" s="91"/>
    </row>
    <row r="120" customFormat="false" ht="15" hidden="false" customHeight="true" outlineLevel="0" collapsed="false">
      <c r="A120" s="46"/>
      <c r="B120" s="91"/>
      <c r="C120" s="91"/>
      <c r="D120" s="91"/>
      <c r="E120" s="91"/>
      <c r="F120" s="91"/>
      <c r="G120" s="91"/>
      <c r="H120" s="91"/>
      <c r="I120" s="91"/>
      <c r="J120" s="91"/>
    </row>
    <row r="121" customFormat="false" ht="15" hidden="false" customHeight="true" outlineLevel="0" collapsed="false">
      <c r="A121" s="46"/>
      <c r="B121" s="91"/>
      <c r="C121" s="91"/>
      <c r="D121" s="91"/>
      <c r="E121" s="91"/>
      <c r="F121" s="91"/>
      <c r="G121" s="91"/>
      <c r="H121" s="91"/>
      <c r="I121" s="91"/>
      <c r="J121" s="91"/>
    </row>
    <row r="122" customFormat="false" ht="15" hidden="false" customHeight="true" outlineLevel="0" collapsed="false">
      <c r="A122" s="46"/>
      <c r="B122" s="91"/>
      <c r="C122" s="91"/>
      <c r="D122" s="91"/>
      <c r="E122" s="91"/>
      <c r="F122" s="91"/>
      <c r="G122" s="91"/>
      <c r="H122" s="91"/>
      <c r="I122" s="91"/>
      <c r="J122" s="91"/>
    </row>
    <row r="123" customFormat="false" ht="15" hidden="false" customHeight="true" outlineLevel="0" collapsed="false">
      <c r="A123" s="46"/>
      <c r="B123" s="91"/>
      <c r="C123" s="91"/>
      <c r="D123" s="91"/>
      <c r="E123" s="91"/>
      <c r="F123" s="91"/>
      <c r="G123" s="91"/>
      <c r="H123" s="91"/>
      <c r="I123" s="91"/>
      <c r="J123" s="91"/>
    </row>
    <row r="124" customFormat="false" ht="15" hidden="false" customHeight="true" outlineLevel="0" collapsed="false">
      <c r="A124" s="46"/>
      <c r="B124" s="91"/>
      <c r="C124" s="91"/>
      <c r="D124" s="91"/>
      <c r="E124" s="91"/>
      <c r="F124" s="91"/>
      <c r="G124" s="91"/>
      <c r="H124" s="91"/>
      <c r="I124" s="91"/>
      <c r="J124" s="91"/>
    </row>
    <row r="125" customFormat="false" ht="15" hidden="false" customHeight="true" outlineLevel="0" collapsed="false">
      <c r="A125" s="46"/>
      <c r="B125" s="91"/>
      <c r="C125" s="91"/>
      <c r="D125" s="91"/>
      <c r="E125" s="91"/>
      <c r="F125" s="91"/>
      <c r="G125" s="91"/>
      <c r="H125" s="91"/>
      <c r="I125" s="91"/>
      <c r="J125" s="91"/>
    </row>
    <row r="126" customFormat="false" ht="72.75" hidden="false" customHeight="true" outlineLevel="0" collapsed="false"/>
    <row r="127" customFormat="false" ht="117.75" hidden="false" customHeight="true" outlineLevel="0" collapsed="false"/>
    <row r="128" customFormat="false" ht="108.75" hidden="false" customHeight="true" outlineLevel="0" collapsed="false"/>
    <row r="129" customFormat="false" ht="72.75" hidden="false" customHeight="true" outlineLevel="0" collapsed="false"/>
  </sheetData>
  <mergeCells count="12">
    <mergeCell ref="A93:G93"/>
    <mergeCell ref="A97:J97"/>
    <mergeCell ref="A98:J98"/>
    <mergeCell ref="A99:J99"/>
    <mergeCell ref="A100:J100"/>
    <mergeCell ref="B119:J119"/>
    <mergeCell ref="B120:J120"/>
    <mergeCell ref="B121:J121"/>
    <mergeCell ref="B122:J122"/>
    <mergeCell ref="B123:J123"/>
    <mergeCell ref="B124:J124"/>
    <mergeCell ref="B125:J1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55"/>
  <sheetViews>
    <sheetView showFormulas="false" showGridLines="false" showRowColHeaders="true" showZeros="true" rightToLeft="false" tabSelected="false" showOutlineSymbols="true" defaultGridColor="true" view="normal" topLeftCell="A47" colorId="64" zoomScale="75" zoomScaleNormal="75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27"/>
    <col collapsed="false" customWidth="true" hidden="false" outlineLevel="0" max="2" min="2" style="1" width="26"/>
    <col collapsed="false" customWidth="true" hidden="false" outlineLevel="0" max="13" min="3" style="1" width="15"/>
    <col collapsed="false" customWidth="true" hidden="false" outlineLevel="0" max="14" min="14" style="1" width="9"/>
  </cols>
  <sheetData>
    <row r="1" customFormat="false" ht="17.25" hidden="false" customHeight="true" outlineLevel="0" collapsed="false">
      <c r="A1" s="45" t="s">
        <v>242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customFormat="false" ht="30" hidden="false" customHeight="true" outlineLevel="0" collapsed="false">
      <c r="A2" s="92" t="s">
        <v>243</v>
      </c>
      <c r="B2" s="92"/>
      <c r="C2" s="92"/>
      <c r="D2" s="92"/>
      <c r="E2" s="92"/>
      <c r="F2" s="92"/>
      <c r="G2" s="92"/>
      <c r="H2" s="92"/>
      <c r="I2" s="46"/>
      <c r="J2" s="46"/>
      <c r="K2" s="46"/>
      <c r="L2" s="46"/>
      <c r="M2" s="46"/>
      <c r="N2" s="46"/>
    </row>
    <row r="3" customFormat="false" ht="4.5" hidden="false" customHeight="true" outlineLevel="0" collapsed="false">
      <c r="A3" s="93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customFormat="false" ht="15" hidden="false" customHeight="true" outlineLevel="0" collapsed="false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customFormat="false" ht="15" hidden="false" customHeight="true" outlineLevel="0" collapsed="false">
      <c r="A5" s="48" t="s">
        <v>244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6"/>
    </row>
    <row r="6" customFormat="false" ht="42" hidden="false" customHeight="true" outlineLevel="0" collapsed="false">
      <c r="A6" s="94" t="s">
        <v>174</v>
      </c>
      <c r="B6" s="94" t="s">
        <v>245</v>
      </c>
      <c r="C6" s="95" t="s">
        <v>246</v>
      </c>
      <c r="D6" s="95" t="s">
        <v>247</v>
      </c>
      <c r="E6" s="95" t="s">
        <v>248</v>
      </c>
      <c r="F6" s="95" t="s">
        <v>249</v>
      </c>
      <c r="G6" s="95" t="s">
        <v>250</v>
      </c>
      <c r="H6" s="95" t="s">
        <v>251</v>
      </c>
      <c r="I6" s="95" t="s">
        <v>252</v>
      </c>
      <c r="J6" s="95" t="s">
        <v>253</v>
      </c>
      <c r="K6" s="95" t="s">
        <v>254</v>
      </c>
      <c r="L6" s="95" t="s">
        <v>255</v>
      </c>
      <c r="M6" s="95" t="s">
        <v>256</v>
      </c>
      <c r="N6" s="96"/>
    </row>
    <row r="7" customFormat="false" ht="18.75" hidden="false" customHeight="true" outlineLevel="0" collapsed="false">
      <c r="A7" s="54" t="s">
        <v>257</v>
      </c>
      <c r="B7" s="65" t="s">
        <v>258</v>
      </c>
      <c r="C7" s="97" t="n">
        <v>35000000</v>
      </c>
      <c r="D7" s="75" t="n">
        <f aca="false">(('02 Assumptions'!B45*'02 Assumptions'!$B$22+'02 Assumptions'!C45*'02 Assumptions'!$B$23+'02 Assumptions'!D45*'02 Assumptions'!$B$25+'02 Assumptions'!E45*'02 Assumptions'!$B$24)/100000)</f>
        <v>0.004335</v>
      </c>
      <c r="E7" s="75" t="n">
        <f aca="false">'02 Assumptions'!F45*'02 Assumptions'!G45*'02 Assumptions'!$B$68</f>
        <v>0.0158171428571429</v>
      </c>
      <c r="F7" s="75" t="n">
        <v>0</v>
      </c>
      <c r="G7" s="75" t="n">
        <f aca="false">D7+E7+F7</f>
        <v>0.0201521428571429</v>
      </c>
      <c r="H7" s="98" t="n">
        <f aca="false">$E$30</f>
        <v>0.00427263479145473</v>
      </c>
      <c r="I7" s="99" t="n">
        <f aca="false">G7+H7</f>
        <v>0.0244247776485976</v>
      </c>
      <c r="J7" s="75" t="n">
        <f aca="false">(('02 Assumptions'!B45*'02 Assumptions'!$B$15+'02 Assumptions'!C45*'02 Assumptions'!$B$16+'02 Assumptions'!D45*'02 Assumptions'!$B$18+'02 Assumptions'!E45*'02 Assumptions'!$B$17)/4/100000)</f>
        <v>0.004425</v>
      </c>
      <c r="K7" s="99" t="n">
        <f aca="false">I7+J7</f>
        <v>0.0288497776485976</v>
      </c>
      <c r="L7" s="98" t="n">
        <v>0.2</v>
      </c>
      <c r="M7" s="100" t="n">
        <f aca="false">(L7-I7)/L7</f>
        <v>0.877876111757012</v>
      </c>
      <c r="N7" s="101"/>
    </row>
    <row r="8" customFormat="false" ht="18.75" hidden="false" customHeight="true" outlineLevel="0" collapsed="false">
      <c r="A8" s="54" t="s">
        <v>259</v>
      </c>
      <c r="B8" s="65" t="s">
        <v>260</v>
      </c>
      <c r="C8" s="97" t="n">
        <v>100000</v>
      </c>
      <c r="D8" s="75" t="n">
        <f aca="false">(('02 Assumptions'!B47*'02 Assumptions'!$B$22+'02 Assumptions'!C47*'02 Assumptions'!$B$23+'02 Assumptions'!D47*'02 Assumptions'!$B$25+'02 Assumptions'!E47*'02 Assumptions'!$B$24)/100000)</f>
        <v>0.02911</v>
      </c>
      <c r="E8" s="75" t="n">
        <f aca="false">'02 Assumptions'!F47*'02 Assumptions'!G47*'02 Assumptions'!$B$68</f>
        <v>0.0237257142857143</v>
      </c>
      <c r="F8" s="75" t="n">
        <v>0</v>
      </c>
      <c r="G8" s="75" t="n">
        <f aca="false">D8+E8+F8</f>
        <v>0.0528357142857143</v>
      </c>
      <c r="H8" s="98" t="n">
        <f aca="false">$E$32</f>
        <v>0.0514285714285714</v>
      </c>
      <c r="I8" s="99" t="n">
        <f aca="false">G8+H8</f>
        <v>0.104264285714286</v>
      </c>
      <c r="J8" s="75" t="n">
        <f aca="false">(('02 Assumptions'!B47*'02 Assumptions'!$B$15+'02 Assumptions'!C47*'02 Assumptions'!$B$16+'02 Assumptions'!D47*'02 Assumptions'!$B$18+'02 Assumptions'!E47*'02 Assumptions'!$B$17)/4/100000)</f>
        <v>0.04525</v>
      </c>
      <c r="K8" s="99" t="n">
        <f aca="false">I8+J8</f>
        <v>0.149514285714286</v>
      </c>
      <c r="L8" s="98" t="n">
        <v>0.5</v>
      </c>
      <c r="M8" s="100" t="n">
        <f aca="false">(L8-I8)/L8</f>
        <v>0.791471428571429</v>
      </c>
      <c r="N8" s="101"/>
    </row>
    <row r="9" customFormat="false" ht="18.75" hidden="false" customHeight="true" outlineLevel="0" collapsed="false">
      <c r="A9" s="54" t="s">
        <v>261</v>
      </c>
      <c r="B9" s="65" t="s">
        <v>262</v>
      </c>
      <c r="C9" s="97" t="n">
        <v>100000</v>
      </c>
      <c r="D9" s="75" t="n">
        <f aca="false">((('02 Assumptions'!B48+'02 Assumptions'!B49)*'02 Assumptions'!$B$22+('02 Assumptions'!C48+'02 Assumptions'!C49)*'02 Assumptions'!$B$23+('02 Assumptions'!D48+'02 Assumptions'!D49)*'02 Assumptions'!$B$25+('02 Assumptions'!E48+'02 Assumptions'!E49)*'02 Assumptions'!$B$24)/100000)</f>
        <v>0.09211</v>
      </c>
      <c r="E9" s="75" t="n">
        <f aca="false">'02 Assumptions'!F48*'02 Assumptions'!G48*'02 Assumptions'!$B$68</f>
        <v>0.02768</v>
      </c>
      <c r="F9" s="75" t="n">
        <f aca="false">('02 Assumptions'!H48*'02 Assumptions'!$B$26/100000)</f>
        <v>0.48</v>
      </c>
      <c r="G9" s="75" t="n">
        <f aca="false">D9+E9+F9</f>
        <v>0.59979</v>
      </c>
      <c r="H9" s="98" t="n">
        <f aca="false">$E$32</f>
        <v>0.0514285714285714</v>
      </c>
      <c r="I9" s="99" t="n">
        <f aca="false">G9+H9</f>
        <v>0.651218571428571</v>
      </c>
      <c r="J9" s="75" t="n">
        <f aca="false">((('02 Assumptions'!B48+'02 Assumptions'!B49)*'02 Assumptions'!$B$15+('02 Assumptions'!C48+'02 Assumptions'!C49)*'02 Assumptions'!$B$16+('02 Assumptions'!D48+'02 Assumptions'!D49)*'02 Assumptions'!$B$18+('02 Assumptions'!E48+'02 Assumptions'!E49)*'02 Assumptions'!$B$17)/4/100000)</f>
        <v>0.18175</v>
      </c>
      <c r="K9" s="99" t="n">
        <f aca="false">I9+J9</f>
        <v>0.832968571428571</v>
      </c>
      <c r="L9" s="98" t="n">
        <v>1.5</v>
      </c>
      <c r="M9" s="100" t="n">
        <f aca="false">(L9-I9)/L9</f>
        <v>0.565854285714286</v>
      </c>
      <c r="N9" s="101"/>
    </row>
    <row r="10" customFormat="false" ht="18.75" hidden="false" customHeight="true" outlineLevel="0" collapsed="false">
      <c r="A10" s="54" t="s">
        <v>263</v>
      </c>
      <c r="B10" s="65" t="s">
        <v>264</v>
      </c>
      <c r="C10" s="97" t="n">
        <v>100000</v>
      </c>
      <c r="D10" s="75" t="n">
        <f aca="false">((('02 Assumptions'!B48+'02 Assumptions'!B49)*'02 Assumptions'!$B$22+('02 Assumptions'!C48+'02 Assumptions'!C49)*'02 Assumptions'!$B$23+('02 Assumptions'!D48+'02 Assumptions'!D49)*'02 Assumptions'!$B$25+('02 Assumptions'!E48+'02 Assumptions'!E49)*'02 Assumptions'!$B$24)/100000)</f>
        <v>0.09211</v>
      </c>
      <c r="E10" s="75" t="n">
        <f aca="false">'02 Assumptions'!F48*'02 Assumptions'!G48*'02 Assumptions'!$B$68</f>
        <v>0.02768</v>
      </c>
      <c r="F10" s="75" t="n">
        <f aca="false">('02 Assumptions'!H48*'02 Assumptions'!$B$26/100000)</f>
        <v>0.48</v>
      </c>
      <c r="G10" s="75" t="n">
        <f aca="false">D10+E10+F10</f>
        <v>0.59979</v>
      </c>
      <c r="H10" s="98" t="n">
        <f aca="false">$E$32</f>
        <v>0.0514285714285714</v>
      </c>
      <c r="I10" s="99" t="n">
        <f aca="false">G10+H10</f>
        <v>0.651218571428571</v>
      </c>
      <c r="J10" s="75" t="n">
        <f aca="false">((('02 Assumptions'!B48+'02 Assumptions'!B49)*'02 Assumptions'!$B$15+('02 Assumptions'!C48+'02 Assumptions'!C49)*'02 Assumptions'!$B$16+('02 Assumptions'!D48+'02 Assumptions'!D49)*'02 Assumptions'!$B$18+('02 Assumptions'!E48+'02 Assumptions'!E49)*'02 Assumptions'!$B$17)/4/100000)</f>
        <v>0.18175</v>
      </c>
      <c r="K10" s="99" t="n">
        <f aca="false">I10+J10</f>
        <v>0.832968571428571</v>
      </c>
      <c r="L10" s="98" t="n">
        <v>2</v>
      </c>
      <c r="M10" s="100" t="n">
        <f aca="false">(L10-I10)/L10</f>
        <v>0.674390714285714</v>
      </c>
      <c r="N10" s="101"/>
    </row>
    <row r="11" customFormat="false" ht="15" hidden="false" customHeight="true" outlineLevel="0" collapsed="false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customFormat="false" ht="15" hidden="false" customHeight="true" outlineLevel="0" collapsed="false">
      <c r="A12" s="47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customFormat="false" ht="15" hidden="false" customHeight="true" outlineLevel="0" collapsed="false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customFormat="false" ht="15" hidden="false" customHeight="true" outlineLevel="0" collapsed="false">
      <c r="A14" s="48" t="s">
        <v>265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6"/>
    </row>
    <row r="15" customFormat="false" ht="15" hidden="false" customHeight="true" outlineLevel="0" collapsed="false">
      <c r="A15" s="69" t="s">
        <v>174</v>
      </c>
      <c r="B15" s="69" t="s">
        <v>109</v>
      </c>
      <c r="C15" s="69" t="s">
        <v>266</v>
      </c>
      <c r="D15" s="69" t="s">
        <v>267</v>
      </c>
      <c r="E15" s="69" t="s">
        <v>268</v>
      </c>
      <c r="F15" s="69" t="s">
        <v>269</v>
      </c>
      <c r="G15" s="69" t="s">
        <v>256</v>
      </c>
      <c r="H15" s="46"/>
      <c r="I15" s="46"/>
      <c r="J15" s="46"/>
      <c r="K15" s="46"/>
      <c r="L15" s="46"/>
      <c r="M15" s="46"/>
      <c r="N15" s="96"/>
    </row>
    <row r="16" customFormat="false" ht="15" hidden="false" customHeight="true" outlineLevel="0" collapsed="false">
      <c r="A16" s="54" t="s">
        <v>270</v>
      </c>
      <c r="B16" s="56" t="s">
        <v>271</v>
      </c>
      <c r="C16" s="63" t="n">
        <f aca="false">(30000+25000+20000)/('02 Assumptions'!J57+'02 Assumptions'!J58)</f>
        <v>750</v>
      </c>
      <c r="D16" s="63" t="n">
        <f aca="false">$E$31</f>
        <v>9450</v>
      </c>
      <c r="E16" s="102" t="n">
        <f aca="false">C16+D16</f>
        <v>10200</v>
      </c>
      <c r="F16" s="63" t="n">
        <v>300000</v>
      </c>
      <c r="G16" s="100" t="n">
        <f aca="false">(F16-E16)/F16</f>
        <v>0.966</v>
      </c>
      <c r="H16" s="46"/>
      <c r="I16" s="46"/>
      <c r="J16" s="46"/>
      <c r="K16" s="46"/>
      <c r="L16" s="46"/>
      <c r="M16" s="46"/>
      <c r="N16" s="101"/>
    </row>
    <row r="17" customFormat="false" ht="15" hidden="false" customHeight="true" outlineLevel="0" collapsed="false">
      <c r="A17" s="54" t="s">
        <v>272</v>
      </c>
      <c r="B17" s="56" t="s">
        <v>271</v>
      </c>
      <c r="C17" s="63" t="n">
        <f aca="false">(30000+25000+20000)/('02 Assumptions'!J57+'02 Assumptions'!J58)+15000</f>
        <v>15750</v>
      </c>
      <c r="D17" s="63" t="n">
        <f aca="false">$E$31</f>
        <v>9450</v>
      </c>
      <c r="E17" s="102" t="n">
        <f aca="false">C17+D17</f>
        <v>25200</v>
      </c>
      <c r="F17" s="63" t="n">
        <v>550000</v>
      </c>
      <c r="G17" s="100" t="n">
        <f aca="false">(F17-E17)/F17</f>
        <v>0.954181818181818</v>
      </c>
      <c r="H17" s="46"/>
      <c r="I17" s="46"/>
      <c r="J17" s="46"/>
      <c r="K17" s="46"/>
      <c r="L17" s="46"/>
      <c r="M17" s="46"/>
      <c r="N17" s="101"/>
    </row>
    <row r="18" customFormat="false" ht="15" hidden="false" customHeight="true" outlineLevel="0" collapsed="false">
      <c r="A18" s="54" t="s">
        <v>273</v>
      </c>
      <c r="B18" s="56" t="s">
        <v>274</v>
      </c>
      <c r="C18" s="63" t="n">
        <f aca="false">90000</f>
        <v>90000</v>
      </c>
      <c r="D18" s="63" t="n">
        <f aca="false">$E$33</f>
        <v>16434.7826086957</v>
      </c>
      <c r="E18" s="102" t="n">
        <f aca="false">C18+D18</f>
        <v>106434.782608696</v>
      </c>
      <c r="F18" s="63" t="n">
        <v>150000</v>
      </c>
      <c r="G18" s="100" t="n">
        <f aca="false">(F18-E18)/F18</f>
        <v>0.290434782608696</v>
      </c>
      <c r="H18" s="46"/>
      <c r="I18" s="46"/>
      <c r="J18" s="46"/>
      <c r="K18" s="46"/>
      <c r="L18" s="46"/>
      <c r="M18" s="46"/>
      <c r="N18" s="101"/>
    </row>
    <row r="19" customFormat="false" ht="15" hidden="false" customHeight="true" outlineLevel="0" collapsed="false">
      <c r="A19" s="103" t="s">
        <v>275</v>
      </c>
      <c r="B19" s="56" t="s">
        <v>276</v>
      </c>
      <c r="C19" s="63" t="n">
        <f aca="false">325000</f>
        <v>325000</v>
      </c>
      <c r="D19" s="63" t="n">
        <f aca="false">$E$34</f>
        <v>45000</v>
      </c>
      <c r="E19" s="102" t="n">
        <f aca="false">C19+D19</f>
        <v>370000</v>
      </c>
      <c r="F19" s="63" t="n">
        <v>525000</v>
      </c>
      <c r="G19" s="100" t="n">
        <f aca="false">(F19-E19)/F19</f>
        <v>0.295238095238095</v>
      </c>
      <c r="H19" s="46"/>
      <c r="I19" s="46"/>
      <c r="J19" s="46"/>
      <c r="K19" s="46"/>
      <c r="L19" s="46"/>
      <c r="M19" s="46"/>
      <c r="N19" s="46"/>
    </row>
    <row r="20" customFormat="false" ht="15" hidden="false" customHeight="true" outlineLevel="0" collapsed="false">
      <c r="A20" s="48" t="s">
        <v>277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6"/>
    </row>
    <row r="21" customFormat="false" ht="15" hidden="false" customHeight="true" outlineLevel="0" collapsed="false">
      <c r="A21" s="23" t="s">
        <v>278</v>
      </c>
      <c r="B21" s="104" t="n">
        <f aca="false">'02 Assumptions'!J56*0.2+'02 Assumptions'!J57*300000+'02 Assumptions'!J58*550000+'02 Assumptions'!J59*0.5+'02 Assumptions'!J60*1.5+'02 Assumptions'!J61*2+'02 Assumptions'!J62*(150000/100000000)+'02 Assumptions'!J63*525000</f>
        <v>108255000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customFormat="false" ht="15" hidden="false" customHeight="true" outlineLevel="0" collapsed="false">
      <c r="A22" s="23" t="s">
        <v>279</v>
      </c>
      <c r="B22" s="105" t="n">
        <f aca="false">I7*'02 Assumptions'!J56+E16*'02 Assumptions'!J57+E17*'02 Assumptions'!J58+I8*'02 Assumptions'!J59+I9*'02 Assumptions'!J60+I10*'02 Assumptions'!J61+E18*('02 Assumptions'!J62/100000000)+E19*'02 Assumptions'!J63</f>
        <v>15260975.0714286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</row>
    <row r="23" customFormat="false" ht="15" hidden="false" customHeight="true" outlineLevel="0" collapsed="false">
      <c r="A23" s="106" t="s">
        <v>280</v>
      </c>
      <c r="B23" s="107" t="n">
        <f aca="false">(B21-B22)/B21</f>
        <v>0.85902752693706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customFormat="false" ht="15" hidden="false" customHeight="true" outlineLevel="0" collapsed="false">
      <c r="A24" s="106" t="s">
        <v>281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customFormat="false" ht="24" hidden="false" customHeight="true" outlineLevel="0" collapsed="false">
      <c r="A25" s="108" t="s">
        <v>282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46"/>
    </row>
    <row r="26" customFormat="false" ht="24" hidden="false" customHeight="true" outlineLevel="0" collapsed="false">
      <c r="A26" s="108" t="s">
        <v>283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46"/>
    </row>
    <row r="27" customFormat="false" ht="15" hidden="false" customHeight="true" outlineLevel="0" collapsed="false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customFormat="false" ht="15" hidden="false" customHeight="true" outlineLevel="0" collapsed="false">
      <c r="A28" s="109" t="s">
        <v>284</v>
      </c>
      <c r="B28" s="109"/>
      <c r="C28" s="109"/>
      <c r="D28" s="109"/>
      <c r="E28" s="109"/>
      <c r="F28" s="23"/>
      <c r="G28" s="23"/>
      <c r="H28" s="23"/>
      <c r="I28" s="23"/>
      <c r="J28" s="23"/>
      <c r="K28" s="23"/>
      <c r="L28" s="23"/>
      <c r="M28" s="23"/>
      <c r="N28" s="46"/>
    </row>
    <row r="29" customFormat="false" ht="15" hidden="false" customHeight="true" outlineLevel="0" collapsed="false">
      <c r="A29" s="110" t="s">
        <v>174</v>
      </c>
      <c r="B29" s="110" t="s">
        <v>285</v>
      </c>
      <c r="C29" s="110" t="s">
        <v>286</v>
      </c>
      <c r="D29" s="110" t="s">
        <v>287</v>
      </c>
      <c r="E29" s="110" t="s">
        <v>288</v>
      </c>
      <c r="F29" s="23"/>
      <c r="G29" s="23"/>
      <c r="H29" s="23"/>
      <c r="I29" s="23"/>
      <c r="J29" s="23"/>
      <c r="K29" s="23"/>
      <c r="L29" s="23"/>
      <c r="M29" s="23"/>
      <c r="N29" s="46"/>
    </row>
    <row r="30" customFormat="false" ht="15" hidden="false" customHeight="true" outlineLevel="0" collapsed="false">
      <c r="A30" s="54" t="s">
        <v>92</v>
      </c>
      <c r="B30" s="111" t="n">
        <v>0.4</v>
      </c>
      <c r="C30" s="112" t="n">
        <f aca="false">'02 Assumptions'!$B$32*B30</f>
        <v>1260000</v>
      </c>
      <c r="D30" s="113" t="n">
        <f aca="false">'02 Assumptions'!J56</f>
        <v>294900000</v>
      </c>
      <c r="E30" s="114" t="n">
        <f aca="false">C30/D30</f>
        <v>0.00427263479145473</v>
      </c>
      <c r="F30" s="115"/>
      <c r="G30" s="39"/>
      <c r="H30" s="23"/>
      <c r="I30" s="23"/>
      <c r="J30" s="23"/>
      <c r="K30" s="23"/>
      <c r="L30" s="23"/>
      <c r="M30" s="23"/>
      <c r="N30" s="46"/>
    </row>
    <row r="31" customFormat="false" ht="15" hidden="false" customHeight="true" outlineLevel="0" collapsed="false">
      <c r="A31" s="54" t="s">
        <v>289</v>
      </c>
      <c r="B31" s="111" t="n">
        <v>0.3</v>
      </c>
      <c r="C31" s="112" t="n">
        <f aca="false">'02 Assumptions'!$B$32*B31</f>
        <v>945000</v>
      </c>
      <c r="D31" s="113" t="n">
        <f aca="false">'02 Assumptions'!J57+'02 Assumptions'!J58</f>
        <v>100</v>
      </c>
      <c r="E31" s="116" t="n">
        <f aca="false">C31/D31</f>
        <v>9450</v>
      </c>
      <c r="F31" s="115"/>
      <c r="G31" s="39"/>
      <c r="H31" s="23"/>
      <c r="I31" s="23"/>
      <c r="J31" s="23"/>
      <c r="K31" s="23"/>
      <c r="L31" s="23"/>
      <c r="M31" s="23"/>
      <c r="N31" s="46"/>
    </row>
    <row r="32" customFormat="false" ht="15" hidden="false" customHeight="true" outlineLevel="0" collapsed="false">
      <c r="A32" s="54" t="s">
        <v>290</v>
      </c>
      <c r="B32" s="111" t="n">
        <v>0.08</v>
      </c>
      <c r="C32" s="112" t="n">
        <f aca="false">'02 Assumptions'!$B$32*B32</f>
        <v>252000</v>
      </c>
      <c r="D32" s="113" t="n">
        <f aca="false">'02 Assumptions'!J59+'02 Assumptions'!J60+'02 Assumptions'!J61</f>
        <v>4900000</v>
      </c>
      <c r="E32" s="114" t="n">
        <f aca="false">C32/D32</f>
        <v>0.0514285714285714</v>
      </c>
      <c r="F32" s="115"/>
      <c r="G32" s="39"/>
      <c r="H32" s="23"/>
      <c r="I32" s="23"/>
      <c r="J32" s="23"/>
      <c r="K32" s="23"/>
      <c r="L32" s="23"/>
      <c r="M32" s="23"/>
      <c r="N32" s="46"/>
    </row>
    <row r="33" customFormat="false" ht="15" hidden="false" customHeight="true" outlineLevel="0" collapsed="false">
      <c r="A33" s="54" t="s">
        <v>98</v>
      </c>
      <c r="B33" s="111" t="n">
        <v>0.12</v>
      </c>
      <c r="C33" s="112" t="n">
        <f aca="false">'02 Assumptions'!$B$32*B33</f>
        <v>378000</v>
      </c>
      <c r="D33" s="113" t="n">
        <f aca="false">'02 Assumptions'!J62/100000000</f>
        <v>23</v>
      </c>
      <c r="E33" s="116" t="n">
        <f aca="false">C33/D33</f>
        <v>16434.7826086957</v>
      </c>
      <c r="F33" s="115"/>
      <c r="G33" s="39"/>
      <c r="H33" s="23"/>
      <c r="I33" s="23"/>
      <c r="J33" s="23"/>
      <c r="K33" s="23"/>
      <c r="L33" s="23"/>
      <c r="M33" s="23"/>
      <c r="N33" s="46"/>
    </row>
    <row r="34" customFormat="false" ht="15" hidden="false" customHeight="true" outlineLevel="0" collapsed="false">
      <c r="A34" s="54" t="s">
        <v>99</v>
      </c>
      <c r="B34" s="111" t="n">
        <v>0.1</v>
      </c>
      <c r="C34" s="112" t="n">
        <f aca="false">'02 Assumptions'!$B$32*B34</f>
        <v>315000</v>
      </c>
      <c r="D34" s="113" t="n">
        <f aca="false">'02 Assumptions'!J63</f>
        <v>7</v>
      </c>
      <c r="E34" s="116" t="n">
        <f aca="false">C34/D34</f>
        <v>45000</v>
      </c>
      <c r="F34" s="115"/>
      <c r="G34" s="39"/>
      <c r="H34" s="23"/>
      <c r="I34" s="23"/>
      <c r="J34" s="23"/>
      <c r="K34" s="23"/>
      <c r="L34" s="23"/>
      <c r="M34" s="23"/>
      <c r="N34" s="46"/>
    </row>
    <row r="35" customFormat="false" ht="15" hidden="false" customHeight="true" outlineLevel="0" collapsed="false">
      <c r="A35" s="117" t="s">
        <v>291</v>
      </c>
      <c r="B35" s="100" t="n">
        <f aca="false">SUM(B30:B34)</f>
        <v>1</v>
      </c>
      <c r="C35" s="102" t="n">
        <f aca="false">SUM(C30:C34)</f>
        <v>3150000</v>
      </c>
      <c r="D35" s="118" t="s">
        <v>128</v>
      </c>
      <c r="E35" s="118" t="s">
        <v>128</v>
      </c>
      <c r="F35" s="23"/>
      <c r="G35" s="23"/>
      <c r="H35" s="23"/>
      <c r="I35" s="23"/>
      <c r="J35" s="23"/>
      <c r="K35" s="23"/>
      <c r="L35" s="23"/>
      <c r="M35" s="23"/>
      <c r="N35" s="46"/>
    </row>
    <row r="36" customFormat="false" ht="27.75" hidden="false" customHeight="true" outlineLevel="0" collapsed="false">
      <c r="A36" s="119" t="s">
        <v>292</v>
      </c>
      <c r="B36" s="119"/>
      <c r="C36" s="119"/>
      <c r="D36" s="119"/>
      <c r="E36" s="119"/>
      <c r="F36" s="23"/>
      <c r="G36" s="23"/>
      <c r="H36" s="23"/>
      <c r="I36" s="23"/>
      <c r="J36" s="23"/>
      <c r="K36" s="23"/>
      <c r="L36" s="23"/>
      <c r="M36" s="23"/>
      <c r="N36" s="46"/>
    </row>
    <row r="37" customFormat="false" ht="15" hidden="false" customHeight="true" outlineLevel="0" collapsed="false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46"/>
    </row>
    <row r="38" customFormat="false" ht="15" hidden="false" customHeight="true" outlineLevel="0" collapsed="false">
      <c r="A38" s="109" t="s">
        <v>293</v>
      </c>
      <c r="B38" s="109"/>
      <c r="C38" s="109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46"/>
    </row>
    <row r="39" customFormat="false" ht="15" hidden="false" customHeight="true" outlineLevel="0" collapsed="false">
      <c r="A39" s="110" t="s">
        <v>174</v>
      </c>
      <c r="B39" s="110" t="s">
        <v>56</v>
      </c>
      <c r="C39" s="110" t="s">
        <v>294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46"/>
    </row>
    <row r="40" customFormat="false" ht="15" hidden="false" customHeight="true" outlineLevel="0" collapsed="false">
      <c r="A40" s="54" t="s">
        <v>92</v>
      </c>
      <c r="B40" s="116" t="n">
        <f aca="false">'02 Assumptions'!J56*0.2</f>
        <v>58980000</v>
      </c>
      <c r="C40" s="111" t="n">
        <f aca="false">B40/$B$45</f>
        <v>0.544824719412498</v>
      </c>
      <c r="D40" s="23"/>
      <c r="E40" s="39"/>
      <c r="F40" s="115"/>
      <c r="G40" s="120"/>
      <c r="H40" s="23"/>
      <c r="I40" s="23"/>
      <c r="J40" s="23"/>
      <c r="K40" s="23"/>
      <c r="L40" s="23"/>
      <c r="M40" s="23"/>
      <c r="N40" s="46"/>
    </row>
    <row r="41" customFormat="false" ht="15" hidden="false" customHeight="true" outlineLevel="0" collapsed="false">
      <c r="A41" s="54" t="s">
        <v>289</v>
      </c>
      <c r="B41" s="116" t="n">
        <f aca="false">'02 Assumptions'!J57*300000+'02 Assumptions'!J58*550000</f>
        <v>37500000</v>
      </c>
      <c r="C41" s="111" t="n">
        <f aca="false">B41/$B$45</f>
        <v>0.346404323125953</v>
      </c>
      <c r="D41" s="23"/>
      <c r="E41" s="39"/>
      <c r="F41" s="115"/>
      <c r="G41" s="120"/>
      <c r="H41" s="23"/>
      <c r="I41" s="23"/>
      <c r="J41" s="23"/>
      <c r="K41" s="23"/>
      <c r="L41" s="23"/>
      <c r="M41" s="23"/>
      <c r="N41" s="46"/>
    </row>
    <row r="42" customFormat="false" ht="15" hidden="false" customHeight="true" outlineLevel="0" collapsed="false">
      <c r="A42" s="54" t="s">
        <v>290</v>
      </c>
      <c r="B42" s="116" t="n">
        <f aca="false">'02 Assumptions'!J59*0.5+'02 Assumptions'!J60*1.5+'02 Assumptions'!J61*2</f>
        <v>4650000</v>
      </c>
      <c r="C42" s="111" t="n">
        <f aca="false">B42/$B$45</f>
        <v>0.0429541360676181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46"/>
    </row>
    <row r="43" customFormat="false" ht="15" hidden="false" customHeight="true" outlineLevel="0" collapsed="false">
      <c r="A43" s="54" t="s">
        <v>98</v>
      </c>
      <c r="B43" s="116" t="n">
        <f aca="false">'02 Assumptions'!J62*(150000/100000000)</f>
        <v>3450000</v>
      </c>
      <c r="C43" s="111" t="n">
        <f aca="false">B43/$B$45</f>
        <v>0.0318691977275876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46"/>
    </row>
    <row r="44" customFormat="false" ht="15" hidden="false" customHeight="true" outlineLevel="0" collapsed="false">
      <c r="A44" s="54" t="s">
        <v>99</v>
      </c>
      <c r="B44" s="116" t="n">
        <f aca="false">'02 Assumptions'!J63*525000</f>
        <v>3675000</v>
      </c>
      <c r="C44" s="111" t="n">
        <f aca="false">B44/$B$45</f>
        <v>0.0339476236663434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46"/>
    </row>
    <row r="45" customFormat="false" ht="15" hidden="false" customHeight="true" outlineLevel="0" collapsed="false">
      <c r="A45" s="117" t="s">
        <v>291</v>
      </c>
      <c r="B45" s="102" t="n">
        <f aca="false">SUM(B40:B44)</f>
        <v>108255000</v>
      </c>
      <c r="C45" s="100" t="n">
        <f aca="false">B45/$B$45</f>
        <v>1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46"/>
    </row>
    <row r="46" customFormat="false" ht="15" hidden="false" customHeight="true" outlineLevel="0" collapsed="false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46"/>
    </row>
    <row r="47" customFormat="false" ht="25.5" hidden="false" customHeight="true" outlineLevel="0" collapsed="false">
      <c r="A47" s="119" t="s">
        <v>295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46"/>
    </row>
    <row r="48" customFormat="false" ht="30" hidden="false" customHeight="true" outlineLevel="0" collapsed="false">
      <c r="A48" s="121" t="s">
        <v>296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46"/>
    </row>
    <row r="49" customFormat="false" ht="15" hidden="false" customHeight="true" outlineLevel="0" collapsed="false">
      <c r="A49" s="109" t="s">
        <v>297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46"/>
    </row>
    <row r="50" customFormat="false" ht="15" hidden="false" customHeight="true" outlineLevel="0" collapsed="false">
      <c r="A50" s="110" t="s">
        <v>174</v>
      </c>
      <c r="B50" s="122" t="s">
        <v>298</v>
      </c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46"/>
    </row>
    <row r="51" customFormat="false" ht="169.5" hidden="false" customHeight="true" outlineLevel="0" collapsed="false">
      <c r="A51" s="123" t="s">
        <v>257</v>
      </c>
      <c r="B51" s="124" t="s">
        <v>299</v>
      </c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46"/>
    </row>
    <row r="52" customFormat="false" ht="169.5" hidden="false" customHeight="true" outlineLevel="0" collapsed="false">
      <c r="A52" s="123" t="s">
        <v>300</v>
      </c>
      <c r="B52" s="124" t="s">
        <v>301</v>
      </c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46"/>
    </row>
    <row r="53" customFormat="false" ht="169.5" hidden="false" customHeight="true" outlineLevel="0" collapsed="false">
      <c r="A53" s="123" t="s">
        <v>302</v>
      </c>
      <c r="B53" s="124" t="s">
        <v>303</v>
      </c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46"/>
    </row>
    <row r="54" customFormat="false" ht="169.5" hidden="false" customHeight="true" outlineLevel="0" collapsed="false">
      <c r="A54" s="123" t="s">
        <v>273</v>
      </c>
      <c r="B54" s="124" t="s">
        <v>304</v>
      </c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46"/>
    </row>
    <row r="55" customFormat="false" ht="169.5" hidden="false" customHeight="true" outlineLevel="0" collapsed="false">
      <c r="A55" s="123" t="s">
        <v>275</v>
      </c>
      <c r="B55" s="124" t="s">
        <v>305</v>
      </c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46"/>
    </row>
  </sheetData>
  <mergeCells count="15">
    <mergeCell ref="A2:H2"/>
    <mergeCell ref="A25:M25"/>
    <mergeCell ref="A26:M26"/>
    <mergeCell ref="A28:E28"/>
    <mergeCell ref="A36:E36"/>
    <mergeCell ref="A38:C38"/>
    <mergeCell ref="A47:M47"/>
    <mergeCell ref="A48:M48"/>
    <mergeCell ref="A49:M49"/>
    <mergeCell ref="B50:M50"/>
    <mergeCell ref="B51:M51"/>
    <mergeCell ref="B52:M52"/>
    <mergeCell ref="B53:M53"/>
    <mergeCell ref="B54:M54"/>
    <mergeCell ref="B55:M5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30"/>
    <col collapsed="false" customWidth="true" hidden="false" outlineLevel="0" max="3" min="3" style="1" width="44"/>
    <col collapsed="false" customWidth="true" hidden="false" outlineLevel="0" max="4" min="4" style="1" width="30"/>
    <col collapsed="false" customWidth="true" hidden="false" outlineLevel="0" max="5" min="5" style="1" width="32"/>
    <col collapsed="false" customWidth="true" hidden="false" outlineLevel="0" max="6" min="6" style="1" width="24"/>
    <col collapsed="false" customWidth="true" hidden="false" outlineLevel="0" max="7" min="7" style="1" width="16"/>
    <col collapsed="false" customWidth="true" hidden="false" outlineLevel="0" max="8" min="8" style="1" width="18"/>
  </cols>
  <sheetData>
    <row r="1" customFormat="false" ht="17.25" hidden="false" customHeight="true" outlineLevel="0" collapsed="false">
      <c r="A1" s="45" t="s">
        <v>306</v>
      </c>
      <c r="B1" s="46"/>
      <c r="C1" s="46"/>
      <c r="D1" s="46"/>
      <c r="E1" s="46"/>
      <c r="F1" s="46"/>
      <c r="G1" s="46"/>
      <c r="H1" s="46"/>
    </row>
    <row r="2" customFormat="false" ht="25.5" hidden="false" customHeight="true" outlineLevel="0" collapsed="false">
      <c r="A2" s="125" t="s">
        <v>307</v>
      </c>
      <c r="B2" s="125"/>
      <c r="C2" s="125"/>
      <c r="D2" s="125"/>
      <c r="E2" s="125"/>
      <c r="F2" s="125"/>
      <c r="G2" s="46"/>
      <c r="H2" s="46"/>
    </row>
    <row r="3" customFormat="false" ht="15" hidden="false" customHeight="true" outlineLevel="0" collapsed="false">
      <c r="A3" s="46"/>
      <c r="B3" s="46"/>
      <c r="C3" s="46"/>
      <c r="D3" s="46"/>
      <c r="E3" s="46"/>
      <c r="F3" s="46"/>
      <c r="G3" s="46"/>
      <c r="H3" s="46"/>
    </row>
    <row r="4" customFormat="false" ht="15" hidden="false" customHeight="true" outlineLevel="0" collapsed="false">
      <c r="A4" s="22" t="s">
        <v>308</v>
      </c>
      <c r="B4" s="22"/>
      <c r="C4" s="22"/>
      <c r="D4" s="22"/>
      <c r="E4" s="22"/>
      <c r="F4" s="22"/>
      <c r="G4" s="46"/>
      <c r="H4" s="46"/>
    </row>
    <row r="5" customFormat="false" ht="15" hidden="false" customHeight="true" outlineLevel="0" collapsed="false">
      <c r="A5" s="126" t="s">
        <v>309</v>
      </c>
      <c r="B5" s="126" t="s">
        <v>310</v>
      </c>
      <c r="C5" s="126" t="s">
        <v>311</v>
      </c>
      <c r="D5" s="126" t="s">
        <v>312</v>
      </c>
      <c r="E5" s="126"/>
      <c r="F5" s="126"/>
      <c r="G5" s="46"/>
      <c r="H5" s="46"/>
    </row>
    <row r="6" customFormat="false" ht="33.75" hidden="false" customHeight="true" outlineLevel="0" collapsed="false">
      <c r="A6" s="127" t="s">
        <v>313</v>
      </c>
      <c r="B6" s="54" t="s">
        <v>75</v>
      </c>
      <c r="C6" s="128" t="s">
        <v>314</v>
      </c>
      <c r="D6" s="128" t="s">
        <v>315</v>
      </c>
      <c r="E6" s="128"/>
      <c r="F6" s="128"/>
      <c r="G6" s="46"/>
      <c r="H6" s="46"/>
    </row>
    <row r="7" customFormat="false" ht="33.75" hidden="false" customHeight="true" outlineLevel="0" collapsed="false">
      <c r="A7" s="127" t="s">
        <v>316</v>
      </c>
      <c r="B7" s="54" t="s">
        <v>76</v>
      </c>
      <c r="C7" s="128" t="s">
        <v>317</v>
      </c>
      <c r="D7" s="128" t="s">
        <v>318</v>
      </c>
      <c r="E7" s="128"/>
      <c r="F7" s="128"/>
      <c r="G7" s="46"/>
      <c r="H7" s="46"/>
    </row>
    <row r="8" customFormat="false" ht="33.75" hidden="false" customHeight="true" outlineLevel="0" collapsed="false">
      <c r="A8" s="127" t="s">
        <v>319</v>
      </c>
      <c r="B8" s="54" t="s">
        <v>76</v>
      </c>
      <c r="C8" s="128" t="s">
        <v>320</v>
      </c>
      <c r="D8" s="128" t="s">
        <v>321</v>
      </c>
      <c r="E8" s="128"/>
      <c r="F8" s="128"/>
      <c r="G8" s="46"/>
      <c r="H8" s="46"/>
    </row>
    <row r="9" customFormat="false" ht="33.75" hidden="false" customHeight="true" outlineLevel="0" collapsed="false">
      <c r="A9" s="127" t="s">
        <v>322</v>
      </c>
      <c r="B9" s="54" t="s">
        <v>77</v>
      </c>
      <c r="C9" s="128" t="s">
        <v>323</v>
      </c>
      <c r="D9" s="128" t="s">
        <v>324</v>
      </c>
      <c r="E9" s="128"/>
      <c r="F9" s="128"/>
      <c r="G9" s="46"/>
      <c r="H9" s="46"/>
    </row>
    <row r="10" customFormat="false" ht="33.75" hidden="false" customHeight="true" outlineLevel="0" collapsed="false">
      <c r="A10" s="127" t="s">
        <v>325</v>
      </c>
      <c r="B10" s="54" t="s">
        <v>77</v>
      </c>
      <c r="C10" s="128" t="s">
        <v>326</v>
      </c>
      <c r="D10" s="128" t="s">
        <v>327</v>
      </c>
      <c r="E10" s="128"/>
      <c r="F10" s="128"/>
      <c r="G10" s="46"/>
      <c r="H10" s="46"/>
    </row>
    <row r="11" customFormat="false" ht="15" hidden="false" customHeight="true" outlineLevel="0" collapsed="false">
      <c r="A11" s="46"/>
      <c r="B11" s="46"/>
      <c r="C11" s="46"/>
      <c r="D11" s="46"/>
      <c r="E11" s="46"/>
      <c r="F11" s="46"/>
      <c r="G11" s="46"/>
      <c r="H11" s="46"/>
    </row>
    <row r="12" customFormat="false" ht="15" hidden="false" customHeight="true" outlineLevel="0" collapsed="false">
      <c r="A12" s="22" t="s">
        <v>328</v>
      </c>
      <c r="B12" s="22"/>
      <c r="C12" s="22"/>
      <c r="D12" s="22"/>
      <c r="E12" s="22"/>
      <c r="F12" s="22"/>
      <c r="G12" s="46"/>
      <c r="H12" s="46"/>
    </row>
    <row r="13" customFormat="false" ht="15" hidden="false" customHeight="true" outlineLevel="0" collapsed="false">
      <c r="A13" s="126" t="s">
        <v>329</v>
      </c>
      <c r="B13" s="126" t="s">
        <v>330</v>
      </c>
      <c r="C13" s="126" t="s">
        <v>331</v>
      </c>
      <c r="D13" s="126" t="s">
        <v>332</v>
      </c>
      <c r="E13" s="126" t="s">
        <v>333</v>
      </c>
      <c r="F13" s="46"/>
      <c r="G13" s="46"/>
      <c r="H13" s="46"/>
    </row>
    <row r="14" customFormat="false" ht="192" hidden="false" customHeight="true" outlineLevel="0" collapsed="false">
      <c r="A14" s="127" t="s">
        <v>334</v>
      </c>
      <c r="B14" s="128" t="s">
        <v>335</v>
      </c>
      <c r="C14" s="129" t="s">
        <v>336</v>
      </c>
      <c r="D14" s="130" t="s">
        <v>337</v>
      </c>
      <c r="E14" s="131" t="s">
        <v>338</v>
      </c>
      <c r="F14" s="131"/>
      <c r="G14" s="46"/>
      <c r="H14" s="46"/>
    </row>
    <row r="15" customFormat="false" ht="120" hidden="false" customHeight="true" outlineLevel="0" collapsed="false">
      <c r="A15" s="127" t="s">
        <v>339</v>
      </c>
      <c r="B15" s="128" t="s">
        <v>340</v>
      </c>
      <c r="C15" s="129" t="s">
        <v>341</v>
      </c>
      <c r="D15" s="130" t="s">
        <v>342</v>
      </c>
      <c r="E15" s="131" t="s">
        <v>343</v>
      </c>
      <c r="F15" s="131"/>
      <c r="G15" s="46"/>
      <c r="H15" s="46"/>
    </row>
    <row r="16" customFormat="false" ht="94.5" hidden="false" customHeight="true" outlineLevel="0" collapsed="false">
      <c r="A16" s="127" t="s">
        <v>344</v>
      </c>
      <c r="B16" s="128" t="s">
        <v>345</v>
      </c>
      <c r="C16" s="129" t="s">
        <v>346</v>
      </c>
      <c r="D16" s="130" t="s">
        <v>347</v>
      </c>
      <c r="E16" s="131" t="s">
        <v>348</v>
      </c>
      <c r="F16" s="131"/>
      <c r="G16" s="46"/>
      <c r="H16" s="46"/>
    </row>
    <row r="17" customFormat="false" ht="94.5" hidden="false" customHeight="true" outlineLevel="0" collapsed="false">
      <c r="A17" s="127" t="s">
        <v>349</v>
      </c>
      <c r="B17" s="128" t="s">
        <v>350</v>
      </c>
      <c r="C17" s="129" t="s">
        <v>351</v>
      </c>
      <c r="D17" s="130" t="s">
        <v>352</v>
      </c>
      <c r="E17" s="131" t="s">
        <v>353</v>
      </c>
      <c r="F17" s="131"/>
      <c r="G17" s="46"/>
      <c r="H17" s="46"/>
    </row>
    <row r="18" customFormat="false" ht="94.5" hidden="false" customHeight="true" outlineLevel="0" collapsed="false">
      <c r="A18" s="127" t="s">
        <v>354</v>
      </c>
      <c r="B18" s="128" t="s">
        <v>355</v>
      </c>
      <c r="C18" s="129" t="s">
        <v>356</v>
      </c>
      <c r="D18" s="130" t="s">
        <v>357</v>
      </c>
      <c r="E18" s="131" t="s">
        <v>358</v>
      </c>
      <c r="F18" s="131"/>
      <c r="G18" s="46"/>
      <c r="H18" s="46"/>
    </row>
    <row r="19" customFormat="false" ht="15" hidden="false" customHeight="true" outlineLevel="0" collapsed="false">
      <c r="A19" s="46"/>
      <c r="B19" s="46"/>
      <c r="C19" s="46"/>
      <c r="D19" s="46"/>
      <c r="E19" s="46"/>
      <c r="F19" s="46"/>
      <c r="G19" s="46"/>
      <c r="H19" s="46"/>
    </row>
    <row r="20" customFormat="false" ht="15" hidden="false" customHeight="true" outlineLevel="0" collapsed="false">
      <c r="A20" s="22" t="s">
        <v>359</v>
      </c>
      <c r="B20" s="22"/>
      <c r="C20" s="22"/>
      <c r="D20" s="22"/>
      <c r="E20" s="22"/>
      <c r="F20" s="22"/>
      <c r="G20" s="22"/>
      <c r="H20" s="22"/>
    </row>
    <row r="21" customFormat="false" ht="30" hidden="false" customHeight="true" outlineLevel="0" collapsed="false">
      <c r="A21" s="132" t="s">
        <v>329</v>
      </c>
      <c r="B21" s="132" t="s">
        <v>360</v>
      </c>
      <c r="C21" s="132" t="s">
        <v>361</v>
      </c>
      <c r="D21" s="132" t="s">
        <v>362</v>
      </c>
      <c r="E21" s="132" t="s">
        <v>363</v>
      </c>
      <c r="F21" s="132" t="s">
        <v>364</v>
      </c>
      <c r="G21" s="132" t="s">
        <v>365</v>
      </c>
      <c r="H21" s="132" t="s">
        <v>366</v>
      </c>
    </row>
    <row r="22" customFormat="false" ht="15" hidden="false" customHeight="true" outlineLevel="0" collapsed="false">
      <c r="A22" s="54" t="s">
        <v>75</v>
      </c>
      <c r="B22" s="112" t="n">
        <v>450000</v>
      </c>
      <c r="C22" s="112" t="n">
        <v>250000</v>
      </c>
      <c r="D22" s="112" t="n">
        <v>250000</v>
      </c>
      <c r="E22" s="112" t="n">
        <v>120000</v>
      </c>
      <c r="F22" s="112" t="n">
        <v>220000</v>
      </c>
      <c r="G22" s="112" t="n">
        <v>230000</v>
      </c>
      <c r="H22" s="116" t="n">
        <f aca="false">SUM(B22:G22)</f>
        <v>1520000</v>
      </c>
    </row>
    <row r="23" customFormat="false" ht="15" hidden="false" customHeight="true" outlineLevel="0" collapsed="false">
      <c r="A23" s="54" t="s">
        <v>76</v>
      </c>
      <c r="B23" s="112" t="n">
        <v>520000</v>
      </c>
      <c r="C23" s="112" t="n">
        <v>700000</v>
      </c>
      <c r="D23" s="112" t="n">
        <v>500000</v>
      </c>
      <c r="E23" s="112" t="n">
        <v>350000</v>
      </c>
      <c r="F23" s="112" t="n">
        <v>300000</v>
      </c>
      <c r="G23" s="112" t="n">
        <v>350000</v>
      </c>
      <c r="H23" s="116" t="n">
        <f aca="false">SUM(B23:G23)</f>
        <v>2720000</v>
      </c>
    </row>
    <row r="24" customFormat="false" ht="15" hidden="false" customHeight="true" outlineLevel="0" collapsed="false">
      <c r="A24" s="54" t="s">
        <v>77</v>
      </c>
      <c r="B24" s="112" t="n">
        <v>800000</v>
      </c>
      <c r="C24" s="112" t="n">
        <v>1300000</v>
      </c>
      <c r="D24" s="112" t="n">
        <v>900000</v>
      </c>
      <c r="E24" s="112" t="n">
        <v>700000</v>
      </c>
      <c r="F24" s="112" t="n">
        <v>450000</v>
      </c>
      <c r="G24" s="112" t="n">
        <v>450000</v>
      </c>
      <c r="H24" s="116" t="n">
        <f aca="false">SUM(B24:G24)</f>
        <v>4600000</v>
      </c>
    </row>
    <row r="25" customFormat="false" ht="15" hidden="false" customHeight="true" outlineLevel="0" collapsed="false">
      <c r="A25" s="54" t="s">
        <v>78</v>
      </c>
      <c r="B25" s="112" t="n">
        <v>900000</v>
      </c>
      <c r="C25" s="112" t="n">
        <v>2200000</v>
      </c>
      <c r="D25" s="112" t="n">
        <v>1400000</v>
      </c>
      <c r="E25" s="112" t="n">
        <v>1000000</v>
      </c>
      <c r="F25" s="112" t="n">
        <v>600000</v>
      </c>
      <c r="G25" s="112" t="n">
        <v>550000</v>
      </c>
      <c r="H25" s="116" t="n">
        <f aca="false">SUM(B25:G25)</f>
        <v>6650000</v>
      </c>
    </row>
    <row r="26" customFormat="false" ht="15" hidden="false" customHeight="true" outlineLevel="0" collapsed="false">
      <c r="A26" s="54" t="s">
        <v>79</v>
      </c>
      <c r="B26" s="112" t="n">
        <v>1300000</v>
      </c>
      <c r="C26" s="112" t="n">
        <v>4000000</v>
      </c>
      <c r="D26" s="112" t="n">
        <v>2200000</v>
      </c>
      <c r="E26" s="112" t="n">
        <v>1400000</v>
      </c>
      <c r="F26" s="112" t="n">
        <v>850000</v>
      </c>
      <c r="G26" s="112" t="n">
        <v>900000</v>
      </c>
      <c r="H26" s="116" t="n">
        <f aca="false">SUM(B26:G26)</f>
        <v>10650000</v>
      </c>
    </row>
    <row r="27" customFormat="false" ht="15" hidden="false" customHeight="true" outlineLevel="0" collapsed="false">
      <c r="A27" s="54" t="s">
        <v>80</v>
      </c>
      <c r="B27" s="112" t="n">
        <v>1450000</v>
      </c>
      <c r="C27" s="112" t="n">
        <v>4500000</v>
      </c>
      <c r="D27" s="112" t="n">
        <v>3200000</v>
      </c>
      <c r="E27" s="112" t="n">
        <v>1700000</v>
      </c>
      <c r="F27" s="112" t="n">
        <v>1000000</v>
      </c>
      <c r="G27" s="112" t="n">
        <v>1100000</v>
      </c>
      <c r="H27" s="116" t="n">
        <f aca="false">SUM(B27:G27)</f>
        <v>12950000</v>
      </c>
    </row>
    <row r="28" customFormat="false" ht="15" hidden="false" customHeight="true" outlineLevel="0" collapsed="false">
      <c r="A28" s="54" t="s">
        <v>81</v>
      </c>
      <c r="B28" s="112" t="n">
        <v>1550000</v>
      </c>
      <c r="C28" s="112" t="n">
        <v>3800000</v>
      </c>
      <c r="D28" s="112" t="n">
        <v>4200000</v>
      </c>
      <c r="E28" s="112" t="n">
        <v>1900000</v>
      </c>
      <c r="F28" s="112" t="n">
        <v>1100000</v>
      </c>
      <c r="G28" s="112" t="n">
        <v>1250000</v>
      </c>
      <c r="H28" s="116" t="n">
        <f aca="false">SUM(B28:G28)</f>
        <v>13800000</v>
      </c>
    </row>
    <row r="29" customFormat="false" ht="15" hidden="false" customHeight="true" outlineLevel="0" collapsed="false">
      <c r="A29" s="54" t="s">
        <v>82</v>
      </c>
      <c r="B29" s="112" t="n">
        <v>1650000</v>
      </c>
      <c r="C29" s="112" t="n">
        <v>3200000</v>
      </c>
      <c r="D29" s="112" t="n">
        <v>5200000</v>
      </c>
      <c r="E29" s="112" t="n">
        <v>2100000</v>
      </c>
      <c r="F29" s="112" t="n">
        <v>1200000</v>
      </c>
      <c r="G29" s="112" t="n">
        <v>1350000</v>
      </c>
      <c r="H29" s="116" t="n">
        <f aca="false">SUM(B29:G29)</f>
        <v>14700000</v>
      </c>
    </row>
    <row r="30" customFormat="false" ht="15" hidden="false" customHeight="true" outlineLevel="0" collapsed="false">
      <c r="A30" s="54" t="s">
        <v>83</v>
      </c>
      <c r="B30" s="112" t="n">
        <v>1750000</v>
      </c>
      <c r="C30" s="112" t="n">
        <v>2800000</v>
      </c>
      <c r="D30" s="112" t="n">
        <v>6200000</v>
      </c>
      <c r="E30" s="112" t="n">
        <v>2300000</v>
      </c>
      <c r="F30" s="112" t="n">
        <v>1300000</v>
      </c>
      <c r="G30" s="112" t="n">
        <v>1500000</v>
      </c>
      <c r="H30" s="116" t="n">
        <f aca="false">SUM(B30:G30)</f>
        <v>15850000</v>
      </c>
    </row>
    <row r="31" customFormat="false" ht="15" hidden="false" customHeight="true" outlineLevel="0" collapsed="false">
      <c r="A31" s="117" t="s">
        <v>367</v>
      </c>
      <c r="B31" s="102" t="n">
        <f aca="false">SUM(B22:B30)</f>
        <v>10370000</v>
      </c>
      <c r="C31" s="102" t="n">
        <f aca="false">SUM(C22:C30)</f>
        <v>22750000</v>
      </c>
      <c r="D31" s="102" t="n">
        <f aca="false">SUM(D22:D30)</f>
        <v>24050000</v>
      </c>
      <c r="E31" s="102" t="n">
        <f aca="false">SUM(E22:E30)</f>
        <v>11570000</v>
      </c>
      <c r="F31" s="102" t="n">
        <f aca="false">SUM(F22:F30)</f>
        <v>7020000</v>
      </c>
      <c r="G31" s="102" t="n">
        <f aca="false">SUM(G22:G30)</f>
        <v>7680000</v>
      </c>
      <c r="H31" s="102" t="n">
        <f aca="false">SUM(H22:H30)</f>
        <v>83440000</v>
      </c>
    </row>
    <row r="32" customFormat="false" ht="39.75" hidden="false" customHeight="true" outlineLevel="0" collapsed="false">
      <c r="A32" s="125" t="s">
        <v>368</v>
      </c>
      <c r="B32" s="125"/>
      <c r="C32" s="125"/>
      <c r="D32" s="125"/>
      <c r="E32" s="125"/>
      <c r="F32" s="125"/>
      <c r="G32" s="125"/>
      <c r="H32" s="125"/>
    </row>
    <row r="33" customFormat="false" ht="15" hidden="false" customHeight="true" outlineLevel="0" collapsed="false">
      <c r="A33" s="46"/>
      <c r="B33" s="46"/>
      <c r="C33" s="46"/>
      <c r="D33" s="46"/>
      <c r="E33" s="46"/>
      <c r="F33" s="46"/>
      <c r="G33" s="46"/>
      <c r="H33" s="46"/>
    </row>
    <row r="34" customFormat="false" ht="15" hidden="false" customHeight="true" outlineLevel="0" collapsed="false">
      <c r="A34" s="22" t="s">
        <v>369</v>
      </c>
      <c r="B34" s="22"/>
      <c r="C34" s="22"/>
      <c r="D34" s="22"/>
      <c r="E34" s="22"/>
      <c r="F34" s="22"/>
      <c r="G34" s="46"/>
      <c r="H34" s="46"/>
    </row>
    <row r="35" customFormat="false" ht="15" hidden="false" customHeight="true" outlineLevel="0" collapsed="false">
      <c r="A35" s="126" t="s">
        <v>329</v>
      </c>
      <c r="B35" s="126" t="s">
        <v>370</v>
      </c>
      <c r="C35" s="126" t="s">
        <v>371</v>
      </c>
      <c r="D35" s="126" t="s">
        <v>372</v>
      </c>
      <c r="E35" s="126" t="s">
        <v>373</v>
      </c>
      <c r="F35" s="126" t="s">
        <v>374</v>
      </c>
      <c r="G35" s="46"/>
      <c r="H35" s="46"/>
    </row>
    <row r="36" customFormat="false" ht="27.75" hidden="false" customHeight="true" outlineLevel="0" collapsed="false">
      <c r="A36" s="133" t="s">
        <v>75</v>
      </c>
      <c r="B36" s="128" t="s">
        <v>375</v>
      </c>
      <c r="C36" s="54" t="n">
        <v>13</v>
      </c>
      <c r="D36" s="112" t="n">
        <v>1781000</v>
      </c>
      <c r="E36" s="134" t="s">
        <v>376</v>
      </c>
      <c r="F36" s="129" t="s">
        <v>377</v>
      </c>
      <c r="G36" s="46"/>
      <c r="H36" s="46"/>
    </row>
    <row r="37" customFormat="false" ht="27.75" hidden="false" customHeight="true" outlineLevel="0" collapsed="false">
      <c r="A37" s="133" t="s">
        <v>75</v>
      </c>
      <c r="B37" s="128" t="s">
        <v>378</v>
      </c>
      <c r="C37" s="54" t="n">
        <v>12</v>
      </c>
      <c r="D37" s="112" t="n">
        <v>144000</v>
      </c>
      <c r="E37" s="134" t="s">
        <v>376</v>
      </c>
      <c r="F37" s="129" t="s">
        <v>379</v>
      </c>
      <c r="G37" s="46"/>
      <c r="H37" s="46"/>
    </row>
    <row r="38" customFormat="false" ht="27.75" hidden="false" customHeight="true" outlineLevel="0" collapsed="false">
      <c r="A38" s="133" t="s">
        <v>75</v>
      </c>
      <c r="B38" s="128" t="s">
        <v>380</v>
      </c>
      <c r="C38" s="54" t="n">
        <v>3</v>
      </c>
      <c r="D38" s="112" t="n">
        <v>225000</v>
      </c>
      <c r="E38" s="134" t="s">
        <v>376</v>
      </c>
      <c r="F38" s="129" t="s">
        <v>381</v>
      </c>
      <c r="G38" s="46"/>
      <c r="H38" s="46"/>
    </row>
    <row r="39" customFormat="false" ht="27.75" hidden="false" customHeight="true" outlineLevel="0" collapsed="false">
      <c r="A39" s="133" t="s">
        <v>75</v>
      </c>
      <c r="B39" s="128" t="s">
        <v>382</v>
      </c>
      <c r="C39" s="54" t="n">
        <v>3</v>
      </c>
      <c r="D39" s="112" t="n">
        <v>250000</v>
      </c>
      <c r="E39" s="134" t="s">
        <v>376</v>
      </c>
      <c r="F39" s="129" t="s">
        <v>383</v>
      </c>
      <c r="G39" s="46"/>
      <c r="H39" s="46"/>
    </row>
    <row r="40" customFormat="false" ht="27.75" hidden="false" customHeight="true" outlineLevel="0" collapsed="false">
      <c r="A40" s="133" t="s">
        <v>75</v>
      </c>
      <c r="B40" s="128" t="s">
        <v>384</v>
      </c>
      <c r="C40" s="54" t="n">
        <v>20</v>
      </c>
      <c r="D40" s="112" t="n">
        <v>1500000</v>
      </c>
      <c r="E40" s="134" t="s">
        <v>376</v>
      </c>
      <c r="F40" s="129" t="s">
        <v>385</v>
      </c>
      <c r="G40" s="46"/>
      <c r="H40" s="46"/>
    </row>
    <row r="41" customFormat="false" ht="27.75" hidden="false" customHeight="true" outlineLevel="0" collapsed="false">
      <c r="A41" s="133" t="s">
        <v>75</v>
      </c>
      <c r="B41" s="128" t="s">
        <v>386</v>
      </c>
      <c r="C41" s="54" t="n">
        <v>3</v>
      </c>
      <c r="D41" s="112" t="n">
        <v>490000</v>
      </c>
      <c r="E41" s="135" t="s">
        <v>387</v>
      </c>
      <c r="F41" s="129" t="s">
        <v>388</v>
      </c>
      <c r="G41" s="46"/>
      <c r="H41" s="46"/>
    </row>
    <row r="42" customFormat="false" ht="27.75" hidden="false" customHeight="true" outlineLevel="0" collapsed="false">
      <c r="A42" s="133" t="s">
        <v>75</v>
      </c>
      <c r="B42" s="128" t="s">
        <v>389</v>
      </c>
      <c r="C42" s="54" t="n">
        <v>3</v>
      </c>
      <c r="D42" s="112" t="n">
        <v>520000</v>
      </c>
      <c r="E42" s="135" t="s">
        <v>387</v>
      </c>
      <c r="F42" s="129" t="s">
        <v>390</v>
      </c>
      <c r="G42" s="46"/>
      <c r="H42" s="46"/>
    </row>
    <row r="43" customFormat="false" ht="27.75" hidden="false" customHeight="true" outlineLevel="0" collapsed="false">
      <c r="A43" s="133" t="s">
        <v>75</v>
      </c>
      <c r="B43" s="128" t="s">
        <v>391</v>
      </c>
      <c r="C43" s="54" t="n">
        <v>1</v>
      </c>
      <c r="D43" s="112" t="n">
        <v>160000</v>
      </c>
      <c r="E43" s="135" t="s">
        <v>387</v>
      </c>
      <c r="F43" s="129" t="s">
        <v>392</v>
      </c>
      <c r="G43" s="46"/>
      <c r="H43" s="46"/>
    </row>
    <row r="44" customFormat="false" ht="27.75" hidden="false" customHeight="true" outlineLevel="0" collapsed="false">
      <c r="A44" s="133" t="s">
        <v>75</v>
      </c>
      <c r="B44" s="128" t="s">
        <v>393</v>
      </c>
      <c r="C44" s="54" t="n">
        <v>1</v>
      </c>
      <c r="D44" s="112" t="n">
        <v>150000</v>
      </c>
      <c r="E44" s="135" t="s">
        <v>387</v>
      </c>
      <c r="F44" s="129" t="s">
        <v>394</v>
      </c>
      <c r="G44" s="46"/>
      <c r="H44" s="46"/>
    </row>
    <row r="45" customFormat="false" ht="27.75" hidden="false" customHeight="true" outlineLevel="0" collapsed="false">
      <c r="A45" s="133" t="s">
        <v>76</v>
      </c>
      <c r="B45" s="128" t="s">
        <v>395</v>
      </c>
      <c r="C45" s="54" t="n">
        <v>5</v>
      </c>
      <c r="D45" s="112" t="n">
        <v>500000</v>
      </c>
      <c r="E45" s="134" t="s">
        <v>376</v>
      </c>
      <c r="F45" s="129" t="s">
        <v>396</v>
      </c>
      <c r="G45" s="46"/>
      <c r="H45" s="46"/>
    </row>
    <row r="46" customFormat="false" ht="27.75" hidden="false" customHeight="true" outlineLevel="0" collapsed="false">
      <c r="A46" s="133" t="s">
        <v>76</v>
      </c>
      <c r="B46" s="128" t="s">
        <v>397</v>
      </c>
      <c r="C46" s="54" t="n">
        <v>11</v>
      </c>
      <c r="D46" s="112" t="n">
        <v>200000</v>
      </c>
      <c r="E46" s="134" t="s">
        <v>376</v>
      </c>
      <c r="F46" s="129" t="s">
        <v>398</v>
      </c>
      <c r="G46" s="46"/>
      <c r="H46" s="46"/>
    </row>
    <row r="47" customFormat="false" ht="27.75" hidden="false" customHeight="true" outlineLevel="0" collapsed="false">
      <c r="A47" s="133" t="s">
        <v>76</v>
      </c>
      <c r="B47" s="128" t="s">
        <v>399</v>
      </c>
      <c r="C47" s="54" t="n">
        <v>5</v>
      </c>
      <c r="D47" s="112" t="n">
        <v>650000</v>
      </c>
      <c r="E47" s="134" t="s">
        <v>376</v>
      </c>
      <c r="F47" s="129" t="s">
        <v>400</v>
      </c>
      <c r="G47" s="46"/>
      <c r="H47" s="46"/>
    </row>
    <row r="48" customFormat="false" ht="27.75" hidden="false" customHeight="true" outlineLevel="0" collapsed="false">
      <c r="A48" s="133" t="s">
        <v>76</v>
      </c>
      <c r="B48" s="128" t="s">
        <v>401</v>
      </c>
      <c r="C48" s="54" t="n">
        <v>0</v>
      </c>
      <c r="D48" s="112" t="n">
        <v>0</v>
      </c>
      <c r="E48" s="134" t="s">
        <v>376</v>
      </c>
      <c r="F48" s="129" t="s">
        <v>402</v>
      </c>
      <c r="G48" s="46"/>
      <c r="H48" s="46"/>
    </row>
    <row r="49" customFormat="false" ht="27.75" hidden="false" customHeight="true" outlineLevel="0" collapsed="false">
      <c r="A49" s="133" t="s">
        <v>76</v>
      </c>
      <c r="B49" s="128" t="s">
        <v>403</v>
      </c>
      <c r="C49" s="54" t="n">
        <v>3</v>
      </c>
      <c r="D49" s="112" t="n">
        <v>520000</v>
      </c>
      <c r="E49" s="135" t="s">
        <v>387</v>
      </c>
      <c r="F49" s="129" t="s">
        <v>404</v>
      </c>
      <c r="G49" s="46"/>
      <c r="H49" s="46"/>
    </row>
    <row r="50" customFormat="false" ht="27.75" hidden="false" customHeight="true" outlineLevel="0" collapsed="false">
      <c r="A50" s="133" t="s">
        <v>76</v>
      </c>
      <c r="B50" s="128" t="s">
        <v>405</v>
      </c>
      <c r="C50" s="54" t="n">
        <v>2</v>
      </c>
      <c r="D50" s="112" t="n">
        <v>310000</v>
      </c>
      <c r="E50" s="135" t="s">
        <v>387</v>
      </c>
      <c r="F50" s="129" t="s">
        <v>406</v>
      </c>
      <c r="G50" s="46"/>
      <c r="H50" s="46"/>
    </row>
    <row r="51" customFormat="false" ht="27.75" hidden="false" customHeight="true" outlineLevel="0" collapsed="false">
      <c r="A51" s="133" t="s">
        <v>76</v>
      </c>
      <c r="B51" s="128" t="s">
        <v>407</v>
      </c>
      <c r="C51" s="54" t="n">
        <v>6</v>
      </c>
      <c r="D51" s="112" t="n">
        <v>940000</v>
      </c>
      <c r="E51" s="135" t="s">
        <v>387</v>
      </c>
      <c r="F51" s="129" t="s">
        <v>408</v>
      </c>
      <c r="G51" s="46"/>
      <c r="H51" s="46"/>
    </row>
    <row r="52" customFormat="false" ht="27.75" hidden="false" customHeight="true" outlineLevel="0" collapsed="false">
      <c r="A52" s="133" t="s">
        <v>77</v>
      </c>
      <c r="B52" s="128" t="s">
        <v>409</v>
      </c>
      <c r="C52" s="54" t="n">
        <v>6</v>
      </c>
      <c r="D52" s="112" t="n">
        <v>915000</v>
      </c>
      <c r="E52" s="134" t="s">
        <v>376</v>
      </c>
      <c r="F52" s="129" t="s">
        <v>410</v>
      </c>
      <c r="G52" s="46"/>
      <c r="H52" s="46"/>
    </row>
    <row r="53" customFormat="false" ht="27.75" hidden="false" customHeight="true" outlineLevel="0" collapsed="false">
      <c r="A53" s="133" t="s">
        <v>77</v>
      </c>
      <c r="B53" s="128" t="s">
        <v>411</v>
      </c>
      <c r="C53" s="54" t="n">
        <v>2</v>
      </c>
      <c r="D53" s="112" t="n">
        <v>150000</v>
      </c>
      <c r="E53" s="134" t="s">
        <v>376</v>
      </c>
      <c r="F53" s="129" t="s">
        <v>412</v>
      </c>
      <c r="G53" s="46"/>
      <c r="H53" s="46"/>
    </row>
    <row r="54" customFormat="false" ht="27.75" hidden="false" customHeight="true" outlineLevel="0" collapsed="false">
      <c r="A54" s="133" t="s">
        <v>77</v>
      </c>
      <c r="B54" s="128" t="s">
        <v>413</v>
      </c>
      <c r="C54" s="54" t="n">
        <v>0</v>
      </c>
      <c r="D54" s="112" t="n">
        <v>0</v>
      </c>
      <c r="E54" s="134" t="s">
        <v>376</v>
      </c>
      <c r="F54" s="129" t="s">
        <v>414</v>
      </c>
      <c r="G54" s="46"/>
      <c r="H54" s="46"/>
    </row>
    <row r="55" customFormat="false" ht="27.75" hidden="false" customHeight="true" outlineLevel="0" collapsed="false">
      <c r="A55" s="133" t="s">
        <v>77</v>
      </c>
      <c r="B55" s="128" t="s">
        <v>415</v>
      </c>
      <c r="C55" s="54" t="n">
        <v>4</v>
      </c>
      <c r="D55" s="112" t="n">
        <v>700000</v>
      </c>
      <c r="E55" s="135" t="s">
        <v>387</v>
      </c>
      <c r="F55" s="129" t="s">
        <v>416</v>
      </c>
      <c r="G55" s="46"/>
      <c r="H55" s="46"/>
    </row>
    <row r="56" customFormat="false" ht="27.75" hidden="false" customHeight="true" outlineLevel="0" collapsed="false">
      <c r="A56" s="133" t="s">
        <v>77</v>
      </c>
      <c r="B56" s="128" t="s">
        <v>417</v>
      </c>
      <c r="C56" s="54" t="n">
        <v>4</v>
      </c>
      <c r="D56" s="112" t="n">
        <v>640000</v>
      </c>
      <c r="E56" s="135" t="s">
        <v>387</v>
      </c>
      <c r="F56" s="129" t="s">
        <v>418</v>
      </c>
      <c r="G56" s="46"/>
      <c r="H56" s="46"/>
    </row>
    <row r="57" customFormat="false" ht="27.75" hidden="false" customHeight="true" outlineLevel="0" collapsed="false">
      <c r="A57" s="133" t="s">
        <v>77</v>
      </c>
      <c r="B57" s="128" t="s">
        <v>419</v>
      </c>
      <c r="C57" s="54" t="n">
        <v>11</v>
      </c>
      <c r="D57" s="112" t="n">
        <v>1760000</v>
      </c>
      <c r="E57" s="135" t="s">
        <v>387</v>
      </c>
      <c r="F57" s="129" t="s">
        <v>420</v>
      </c>
      <c r="G57" s="46"/>
      <c r="H57" s="46"/>
    </row>
    <row r="58" customFormat="false" ht="27.75" hidden="false" customHeight="true" outlineLevel="0" collapsed="false">
      <c r="A58" s="133" t="s">
        <v>78</v>
      </c>
      <c r="B58" s="128" t="s">
        <v>421</v>
      </c>
      <c r="C58" s="54" t="n">
        <v>0</v>
      </c>
      <c r="D58" s="112" t="n">
        <v>2800000</v>
      </c>
      <c r="E58" s="134" t="s">
        <v>376</v>
      </c>
      <c r="F58" s="129" t="s">
        <v>422</v>
      </c>
      <c r="G58" s="46"/>
      <c r="H58" s="46"/>
    </row>
    <row r="59" customFormat="false" ht="27.75" hidden="false" customHeight="true" outlineLevel="0" collapsed="false">
      <c r="A59" s="133" t="s">
        <v>78</v>
      </c>
      <c r="B59" s="128" t="s">
        <v>423</v>
      </c>
      <c r="C59" s="54" t="n">
        <v>5</v>
      </c>
      <c r="D59" s="112" t="n">
        <v>810000</v>
      </c>
      <c r="E59" s="135" t="s">
        <v>387</v>
      </c>
      <c r="F59" s="129" t="s">
        <v>424</v>
      </c>
      <c r="G59" s="46"/>
      <c r="H59" s="46"/>
    </row>
    <row r="60" customFormat="false" ht="27.75" hidden="false" customHeight="true" outlineLevel="0" collapsed="false">
      <c r="A60" s="133" t="s">
        <v>425</v>
      </c>
      <c r="B60" s="128" t="s">
        <v>426</v>
      </c>
      <c r="C60" s="54" t="n">
        <v>0</v>
      </c>
      <c r="D60" s="112" t="n">
        <v>0</v>
      </c>
      <c r="E60" s="134" t="s">
        <v>376</v>
      </c>
      <c r="F60" s="129" t="s">
        <v>427</v>
      </c>
      <c r="G60" s="46"/>
      <c r="H60" s="46"/>
    </row>
    <row r="61" customFormat="false" ht="27.75" hidden="false" customHeight="true" outlineLevel="0" collapsed="false">
      <c r="A61" s="133" t="s">
        <v>425</v>
      </c>
      <c r="B61" s="128" t="s">
        <v>428</v>
      </c>
      <c r="C61" s="54" t="n">
        <v>36</v>
      </c>
      <c r="D61" s="112" t="n">
        <v>9400000</v>
      </c>
      <c r="E61" s="135" t="s">
        <v>387</v>
      </c>
      <c r="F61" s="129" t="s">
        <v>429</v>
      </c>
      <c r="G61" s="46"/>
      <c r="H61" s="46"/>
    </row>
    <row r="62" customFormat="false" ht="15" hidden="false" customHeight="true" outlineLevel="0" collapsed="false">
      <c r="A62" s="46"/>
      <c r="B62" s="46"/>
      <c r="C62" s="46"/>
      <c r="D62" s="46"/>
      <c r="E62" s="46"/>
      <c r="F62" s="46"/>
      <c r="G62" s="46"/>
      <c r="H62" s="46"/>
    </row>
    <row r="63" customFormat="false" ht="15" hidden="false" customHeight="true" outlineLevel="0" collapsed="false">
      <c r="A63" s="22" t="s">
        <v>430</v>
      </c>
      <c r="B63" s="22"/>
      <c r="C63" s="22"/>
      <c r="D63" s="22"/>
      <c r="E63" s="22"/>
      <c r="F63" s="22"/>
      <c r="G63" s="46"/>
      <c r="H63" s="46"/>
    </row>
    <row r="64" customFormat="false" ht="120" hidden="false" customHeight="true" outlineLevel="0" collapsed="false">
      <c r="A64" s="136" t="s">
        <v>431</v>
      </c>
      <c r="B64" s="136"/>
      <c r="C64" s="136"/>
      <c r="D64" s="136"/>
      <c r="E64" s="136"/>
      <c r="F64" s="136"/>
      <c r="G64" s="46"/>
      <c r="H64" s="46"/>
    </row>
  </sheetData>
  <mergeCells count="18">
    <mergeCell ref="A2:F2"/>
    <mergeCell ref="A4:F4"/>
    <mergeCell ref="D6:F6"/>
    <mergeCell ref="D7:F7"/>
    <mergeCell ref="D8:F8"/>
    <mergeCell ref="D9:F9"/>
    <mergeCell ref="D10:F10"/>
    <mergeCell ref="A12:F12"/>
    <mergeCell ref="E14:F14"/>
    <mergeCell ref="E15:F15"/>
    <mergeCell ref="E16:F16"/>
    <mergeCell ref="E17:F17"/>
    <mergeCell ref="E18:F18"/>
    <mergeCell ref="A20:H20"/>
    <mergeCell ref="A32:H32"/>
    <mergeCell ref="A34:F34"/>
    <mergeCell ref="A63:F63"/>
    <mergeCell ref="A64:F64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4"/>
    <col collapsed="false" customWidth="true" hidden="false" outlineLevel="0" max="10" min="2" style="1" width="15"/>
  </cols>
  <sheetData>
    <row r="1" customFormat="false" ht="17.25" hidden="false" customHeight="true" outlineLevel="0" collapsed="false">
      <c r="A1" s="45" t="s">
        <v>432</v>
      </c>
      <c r="B1" s="46"/>
      <c r="C1" s="46"/>
      <c r="D1" s="46"/>
      <c r="E1" s="46"/>
      <c r="F1" s="46"/>
      <c r="G1" s="46"/>
      <c r="H1" s="46"/>
      <c r="I1" s="46"/>
      <c r="J1" s="46"/>
    </row>
    <row r="2" customFormat="false" ht="24" hidden="false" customHeight="true" outlineLevel="0" collapsed="false">
      <c r="A2" s="125" t="s">
        <v>433</v>
      </c>
      <c r="B2" s="125"/>
      <c r="C2" s="125"/>
      <c r="D2" s="125"/>
      <c r="E2" s="125"/>
      <c r="F2" s="125"/>
      <c r="G2" s="125"/>
      <c r="H2" s="125"/>
      <c r="I2" s="125"/>
      <c r="J2" s="125"/>
    </row>
    <row r="3" customFormat="false" ht="43.5" hidden="false" customHeight="true" outlineLevel="0" collapsed="false">
      <c r="A3" s="137" t="s">
        <v>434</v>
      </c>
      <c r="B3" s="137"/>
      <c r="C3" s="137"/>
      <c r="D3" s="137"/>
      <c r="E3" s="137"/>
      <c r="F3" s="137"/>
      <c r="G3" s="137"/>
      <c r="H3" s="137"/>
      <c r="I3" s="137"/>
      <c r="J3" s="137"/>
    </row>
    <row r="4" customFormat="false" ht="15" hidden="false" customHeight="true" outlineLevel="0" collapsed="false">
      <c r="A4" s="46"/>
      <c r="B4" s="46"/>
      <c r="C4" s="46"/>
      <c r="D4" s="46"/>
      <c r="E4" s="46"/>
      <c r="F4" s="46"/>
      <c r="G4" s="46"/>
      <c r="H4" s="46"/>
      <c r="I4" s="46"/>
      <c r="J4" s="46"/>
    </row>
    <row r="5" customFormat="false" ht="15" hidden="false" customHeight="true" outlineLevel="0" collapsed="false">
      <c r="A5" s="138"/>
      <c r="B5" s="139" t="s">
        <v>75</v>
      </c>
      <c r="C5" s="139" t="s">
        <v>76</v>
      </c>
      <c r="D5" s="139" t="s">
        <v>77</v>
      </c>
      <c r="E5" s="139" t="s">
        <v>78</v>
      </c>
      <c r="F5" s="139" t="s">
        <v>79</v>
      </c>
      <c r="G5" s="139" t="s">
        <v>80</v>
      </c>
      <c r="H5" s="139" t="s">
        <v>81</v>
      </c>
      <c r="I5" s="139" t="s">
        <v>82</v>
      </c>
      <c r="J5" s="139" t="s">
        <v>83</v>
      </c>
    </row>
    <row r="6" customFormat="false" ht="15" hidden="false" customHeight="true" outlineLevel="0" collapsed="false">
      <c r="A6" s="140" t="s">
        <v>435</v>
      </c>
      <c r="B6" s="141"/>
      <c r="C6" s="141"/>
      <c r="D6" s="141"/>
      <c r="E6" s="141"/>
      <c r="F6" s="141"/>
      <c r="G6" s="141"/>
      <c r="H6" s="141"/>
      <c r="I6" s="141"/>
      <c r="J6" s="141"/>
    </row>
    <row r="7" customFormat="false" ht="15" hidden="false" customHeight="true" outlineLevel="0" collapsed="false">
      <c r="A7" s="23" t="s">
        <v>436</v>
      </c>
      <c r="B7" s="115" t="n">
        <f aca="false">'02 Assumptions'!B56*'02 Assumptions'!$B$52</f>
        <v>0</v>
      </c>
      <c r="C7" s="115" t="n">
        <f aca="false">'02 Assumptions'!C56*'02 Assumptions'!$B$52</f>
        <v>7000000</v>
      </c>
      <c r="D7" s="115" t="n">
        <f aca="false">'02 Assumptions'!D56*'02 Assumptions'!$B$52</f>
        <v>14980000</v>
      </c>
      <c r="E7" s="115" t="n">
        <f aca="false">'02 Assumptions'!E56*'02 Assumptions'!$B$52</f>
        <v>24180000</v>
      </c>
      <c r="F7" s="115" t="n">
        <f aca="false">'02 Assumptions'!F56*'02 Assumptions'!$B$52</f>
        <v>32380000</v>
      </c>
      <c r="G7" s="115" t="n">
        <f aca="false">'02 Assumptions'!G56*'02 Assumptions'!$B$52</f>
        <v>40380000</v>
      </c>
      <c r="H7" s="115" t="n">
        <f aca="false">'02 Assumptions'!H56*'02 Assumptions'!$B$52</f>
        <v>47580000</v>
      </c>
      <c r="I7" s="115" t="n">
        <f aca="false">'02 Assumptions'!I56*'02 Assumptions'!$B$52</f>
        <v>53580000</v>
      </c>
      <c r="J7" s="115" t="n">
        <f aca="false">'02 Assumptions'!J56*'02 Assumptions'!$B$52</f>
        <v>58980000</v>
      </c>
    </row>
    <row r="8" customFormat="false" ht="15" hidden="false" customHeight="true" outlineLevel="0" collapsed="false">
      <c r="A8" s="23" t="s">
        <v>437</v>
      </c>
      <c r="B8" s="115" t="n">
        <f aca="false">'02 Assumptions'!B57*300000+'02 Assumptions'!B58*550000</f>
        <v>0</v>
      </c>
      <c r="C8" s="115" t="n">
        <f aca="false">'02 Assumptions'!C57*300000+'02 Assumptions'!C58*550000</f>
        <v>300000</v>
      </c>
      <c r="D8" s="115" t="n">
        <f aca="false">'02 Assumptions'!D57*300000+'02 Assumptions'!D58*550000</f>
        <v>3750000</v>
      </c>
      <c r="E8" s="115" t="n">
        <f aca="false">'02 Assumptions'!E57*300000+'02 Assumptions'!E58*550000</f>
        <v>9250000</v>
      </c>
      <c r="F8" s="115" t="n">
        <f aca="false">'02 Assumptions'!F57*300000+'02 Assumptions'!F58*550000</f>
        <v>16750000</v>
      </c>
      <c r="G8" s="115" t="n">
        <f aca="false">'02 Assumptions'!G57*300000+'02 Assumptions'!G58*550000</f>
        <v>24250000</v>
      </c>
      <c r="H8" s="115" t="n">
        <f aca="false">'02 Assumptions'!H57*300000+'02 Assumptions'!H58*550000</f>
        <v>30000000</v>
      </c>
      <c r="I8" s="115" t="n">
        <f aca="false">'02 Assumptions'!I57*300000+'02 Assumptions'!I58*550000</f>
        <v>33750000</v>
      </c>
      <c r="J8" s="115" t="n">
        <f aca="false">'02 Assumptions'!J57*300000+'02 Assumptions'!J58*550000</f>
        <v>37500000</v>
      </c>
    </row>
    <row r="9" customFormat="false" ht="15" hidden="false" customHeight="true" outlineLevel="0" collapsed="false">
      <c r="A9" s="23" t="s">
        <v>438</v>
      </c>
      <c r="B9" s="115" t="n">
        <f aca="false">'02 Assumptions'!B59*0.5+'02 Assumptions'!B60*1.5+'02 Assumptions'!B61*2</f>
        <v>0</v>
      </c>
      <c r="C9" s="115" t="n">
        <f aca="false">'02 Assumptions'!C59*0.5+'02 Assumptions'!C60*1.5+'02 Assumptions'!C61*2</f>
        <v>125000</v>
      </c>
      <c r="D9" s="115" t="n">
        <f aca="false">'02 Assumptions'!D59*0.5+'02 Assumptions'!D60*1.5+'02 Assumptions'!D61*2</f>
        <v>475000</v>
      </c>
      <c r="E9" s="115" t="n">
        <f aca="false">'02 Assumptions'!E59*0.5+'02 Assumptions'!E60*1.5+'02 Assumptions'!E61*2</f>
        <v>950000</v>
      </c>
      <c r="F9" s="115" t="n">
        <f aca="false">'02 Assumptions'!F59*0.5+'02 Assumptions'!F60*1.5+'02 Assumptions'!F61*2</f>
        <v>1650000</v>
      </c>
      <c r="G9" s="115" t="n">
        <f aca="false">'02 Assumptions'!G59*0.5+'02 Assumptions'!G60*1.5+'02 Assumptions'!G61*2</f>
        <v>2400000</v>
      </c>
      <c r="H9" s="115" t="n">
        <f aca="false">'02 Assumptions'!H59*0.5+'02 Assumptions'!H60*1.5+'02 Assumptions'!H61*2</f>
        <v>3150000</v>
      </c>
      <c r="I9" s="115" t="n">
        <f aca="false">'02 Assumptions'!I59*0.5+'02 Assumptions'!I60*1.5+'02 Assumptions'!I61*2</f>
        <v>3900000</v>
      </c>
      <c r="J9" s="115" t="n">
        <f aca="false">'02 Assumptions'!J59*0.5+'02 Assumptions'!J60*1.5+'02 Assumptions'!J61*2</f>
        <v>4650000</v>
      </c>
    </row>
    <row r="10" customFormat="false" ht="15" hidden="false" customHeight="true" outlineLevel="0" collapsed="false">
      <c r="A10" s="23" t="s">
        <v>439</v>
      </c>
      <c r="B10" s="115" t="n">
        <f aca="false">'02 Assumptions'!B62*(150000/100000000)</f>
        <v>0</v>
      </c>
      <c r="C10" s="115" t="n">
        <f aca="false">'02 Assumptions'!C62*(150000/100000000)</f>
        <v>0</v>
      </c>
      <c r="D10" s="115" t="n">
        <f aca="false">'02 Assumptions'!D62*(150000/100000000)</f>
        <v>750000</v>
      </c>
      <c r="E10" s="115" t="n">
        <f aca="false">'02 Assumptions'!E62*(150000/100000000)</f>
        <v>1125000</v>
      </c>
      <c r="F10" s="115" t="n">
        <f aca="false">'02 Assumptions'!F62*(150000/100000000)</f>
        <v>1500000</v>
      </c>
      <c r="G10" s="115" t="n">
        <f aca="false">'02 Assumptions'!G62*(150000/100000000)</f>
        <v>2100000</v>
      </c>
      <c r="H10" s="115" t="n">
        <f aca="false">'02 Assumptions'!H62*(150000/100000000)</f>
        <v>2550000</v>
      </c>
      <c r="I10" s="115" t="n">
        <f aca="false">'02 Assumptions'!I62*(150000/100000000)</f>
        <v>3000000</v>
      </c>
      <c r="J10" s="115" t="n">
        <f aca="false">'02 Assumptions'!J62*(150000/100000000)</f>
        <v>3450000</v>
      </c>
    </row>
    <row r="11" customFormat="false" ht="15" hidden="false" customHeight="true" outlineLevel="0" collapsed="false">
      <c r="A11" s="23" t="s">
        <v>440</v>
      </c>
      <c r="B11" s="115" t="n">
        <f aca="false">'02 Assumptions'!B63*525000</f>
        <v>0</v>
      </c>
      <c r="C11" s="115" t="n">
        <f aca="false">'02 Assumptions'!C63*525000</f>
        <v>0</v>
      </c>
      <c r="D11" s="115" t="n">
        <f aca="false">'02 Assumptions'!D63*525000</f>
        <v>525000</v>
      </c>
      <c r="E11" s="115" t="n">
        <f aca="false">'02 Assumptions'!E63*525000</f>
        <v>1050000</v>
      </c>
      <c r="F11" s="115" t="n">
        <f aca="false">'02 Assumptions'!F63*525000</f>
        <v>1575000</v>
      </c>
      <c r="G11" s="115" t="n">
        <f aca="false">'02 Assumptions'!G63*525000</f>
        <v>2100000</v>
      </c>
      <c r="H11" s="115" t="n">
        <f aca="false">'02 Assumptions'!H63*525000</f>
        <v>2625000</v>
      </c>
      <c r="I11" s="115" t="n">
        <f aca="false">'02 Assumptions'!I63*525000</f>
        <v>3150000</v>
      </c>
      <c r="J11" s="115" t="n">
        <f aca="false">'02 Assumptions'!J63*525000</f>
        <v>3675000</v>
      </c>
    </row>
    <row r="12" customFormat="false" ht="15" hidden="false" customHeight="true" outlineLevel="0" collapsed="false">
      <c r="A12" s="106" t="s">
        <v>441</v>
      </c>
      <c r="B12" s="142" t="n">
        <f aca="false">SUM(B7:B11)</f>
        <v>0</v>
      </c>
      <c r="C12" s="142" t="n">
        <f aca="false">SUM(C7:C11)</f>
        <v>7425000</v>
      </c>
      <c r="D12" s="142" t="n">
        <f aca="false">SUM(D7:D11)</f>
        <v>20480000</v>
      </c>
      <c r="E12" s="142" t="n">
        <f aca="false">SUM(E7:E11)</f>
        <v>36555000</v>
      </c>
      <c r="F12" s="142" t="n">
        <f aca="false">SUM(F7:F11)</f>
        <v>53855000</v>
      </c>
      <c r="G12" s="142" t="n">
        <f aca="false">SUM(G7:G11)</f>
        <v>71230000</v>
      </c>
      <c r="H12" s="142" t="n">
        <f aca="false">SUM(H7:H11)</f>
        <v>85905000</v>
      </c>
      <c r="I12" s="142" t="n">
        <f aca="false">SUM(I7:I11)</f>
        <v>97380000</v>
      </c>
      <c r="J12" s="142" t="n">
        <f aca="false">SUM(J7:J11)</f>
        <v>108255000</v>
      </c>
    </row>
    <row r="13" customFormat="false" ht="15" hidden="false" customHeight="true" outlineLevel="0" collapsed="false">
      <c r="A13" s="46"/>
      <c r="B13" s="46"/>
      <c r="C13" s="46"/>
      <c r="D13" s="46"/>
      <c r="E13" s="46"/>
      <c r="F13" s="46"/>
      <c r="G13" s="46"/>
      <c r="H13" s="46"/>
      <c r="I13" s="46"/>
      <c r="J13" s="46"/>
    </row>
    <row r="14" customFormat="false" ht="15" hidden="false" customHeight="true" outlineLevel="0" collapsed="false">
      <c r="A14" s="140" t="s">
        <v>442</v>
      </c>
      <c r="B14" s="141"/>
      <c r="C14" s="141"/>
      <c r="D14" s="141"/>
      <c r="E14" s="141"/>
      <c r="F14" s="141"/>
      <c r="G14" s="141"/>
      <c r="H14" s="141"/>
      <c r="I14" s="141"/>
      <c r="J14" s="141"/>
    </row>
    <row r="15" customFormat="false" ht="15" hidden="false" customHeight="true" outlineLevel="0" collapsed="false">
      <c r="A15" s="23" t="s">
        <v>443</v>
      </c>
      <c r="B15" s="115" t="n">
        <f aca="false">'03 CTS_by_Stream'!$G$7*'02 Assumptions'!B56+'03 CTS_by_Stream'!$G$8*'02 Assumptions'!B59+'03 CTS_by_Stream'!$G$9*'02 Assumptions'!B60+'03 CTS_by_Stream'!$G$10*'02 Assumptions'!B61+'03 CTS_by_Stream'!$C$16*'02 Assumptions'!B57+'03 CTS_by_Stream'!$C$17*'02 Assumptions'!B58+'03 CTS_by_Stream'!$C$18*('02 Assumptions'!B62/100000000)+'03 CTS_by_Stream'!$C$19*'02 Assumptions'!B63</f>
        <v>0</v>
      </c>
      <c r="C15" s="115" t="n">
        <f aca="false">'03 CTS_by_Stream'!$G$7*'02 Assumptions'!C56+'03 CTS_by_Stream'!$G$8*'02 Assumptions'!C59+'03 CTS_by_Stream'!$G$9*'02 Assumptions'!C60+'03 CTS_by_Stream'!$G$10*'02 Assumptions'!C61+'03 CTS_by_Stream'!$C$16*'02 Assumptions'!C57+'03 CTS_by_Stream'!$C$17*'02 Assumptions'!C58+'03 CTS_by_Stream'!$C$18*('02 Assumptions'!C62/100000000)+'03 CTS_by_Stream'!$C$19*'02 Assumptions'!C63</f>
        <v>741348.071428572</v>
      </c>
      <c r="D15" s="115" t="n">
        <f aca="false">'03 CTS_by_Stream'!$G$7*'02 Assumptions'!D56+'03 CTS_by_Stream'!$G$8*'02 Assumptions'!D59+'03 CTS_by_Stream'!$G$9*'02 Assumptions'!D60+'03 CTS_by_Stream'!$G$10*'02 Assumptions'!D61+'03 CTS_by_Stream'!$C$16*'02 Assumptions'!D57+'03 CTS_by_Stream'!$C$17*'02 Assumptions'!D58+'03 CTS_by_Stream'!$C$18*('02 Assumptions'!D62/100000000)+'03 CTS_by_Stream'!$C$19*'02 Assumptions'!D63</f>
        <v>2472704.21428571</v>
      </c>
      <c r="E15" s="115" t="n">
        <f aca="false">'03 CTS_by_Stream'!$G$7*'02 Assumptions'!E56+'03 CTS_by_Stream'!$G$8*'02 Assumptions'!E59+'03 CTS_by_Stream'!$G$9*'02 Assumptions'!E60+'03 CTS_by_Stream'!$G$10*'02 Assumptions'!E61+'03 CTS_by_Stream'!$C$16*'02 Assumptions'!E57+'03 CTS_by_Stream'!$C$17*'02 Assumptions'!E58+'03 CTS_by_Stream'!$C$18*('02 Assumptions'!E62/100000000)+'03 CTS_by_Stream'!$C$19*'02 Assumptions'!E63</f>
        <v>4156761.5</v>
      </c>
      <c r="F15" s="115" t="n">
        <f aca="false">'03 CTS_by_Stream'!$G$7*'02 Assumptions'!F56+'03 CTS_by_Stream'!$G$8*'02 Assumptions'!F59+'03 CTS_by_Stream'!$G$9*'02 Assumptions'!F60+'03 CTS_by_Stream'!$G$10*'02 Assumptions'!F61+'03 CTS_by_Stream'!$C$16*'02 Assumptions'!F57+'03 CTS_by_Stream'!$C$17*'02 Assumptions'!F58+'03 CTS_by_Stream'!$C$18*('02 Assumptions'!F62/100000000)+'03 CTS_by_Stream'!$C$19*'02 Assumptions'!F63</f>
        <v>5839070.64285714</v>
      </c>
      <c r="G15" s="115" t="n">
        <f aca="false">'03 CTS_by_Stream'!$G$7*'02 Assumptions'!G56+'03 CTS_by_Stream'!$G$8*'02 Assumptions'!G59+'03 CTS_by_Stream'!$G$9*'02 Assumptions'!G60+'03 CTS_by_Stream'!$G$10*'02 Assumptions'!G61+'03 CTS_by_Stream'!$C$16*'02 Assumptions'!G57+'03 CTS_by_Stream'!$C$17*'02 Assumptions'!G58+'03 CTS_by_Stream'!$C$18*('02 Assumptions'!G62/100000000)+'03 CTS_by_Stream'!$C$19*'02 Assumptions'!G63</f>
        <v>7641511.21428572</v>
      </c>
      <c r="H15" s="115" t="n">
        <f aca="false">'03 CTS_by_Stream'!$G$7*'02 Assumptions'!H56+'03 CTS_by_Stream'!$G$8*'02 Assumptions'!H59+'03 CTS_by_Stream'!$G$9*'02 Assumptions'!H60+'03 CTS_by_Stream'!$G$10*'02 Assumptions'!H61+'03 CTS_by_Stream'!$C$16*'02 Assumptions'!H57+'03 CTS_by_Stream'!$C$17*'02 Assumptions'!H58+'03 CTS_by_Stream'!$C$18*('02 Assumptions'!H62/100000000)+'03 CTS_by_Stream'!$C$19*'02 Assumptions'!H63</f>
        <v>9254593.21428572</v>
      </c>
      <c r="I15" s="115" t="n">
        <f aca="false">'03 CTS_by_Stream'!$G$7*'02 Assumptions'!I56+'03 CTS_by_Stream'!$G$8*'02 Assumptions'!I59+'03 CTS_by_Stream'!$G$9*'02 Assumptions'!I60+'03 CTS_by_Stream'!$G$10*'02 Assumptions'!I61+'03 CTS_by_Stream'!$C$16*'02 Assumptions'!I57+'03 CTS_by_Stream'!$C$17*'02 Assumptions'!I58+'03 CTS_by_Stream'!$C$18*('02 Assumptions'!I62/100000000)+'03 CTS_by_Stream'!$C$19*'02 Assumptions'!I63</f>
        <v>10713012.3571429</v>
      </c>
      <c r="J15" s="115" t="n">
        <f aca="false">'03 CTS_by_Stream'!$G$7*'02 Assumptions'!J56+'03 CTS_by_Stream'!$G$8*'02 Assumptions'!J59+'03 CTS_by_Stream'!$G$9*'02 Assumptions'!J60+'03 CTS_by_Stream'!$G$10*'02 Assumptions'!J61+'03 CTS_by_Stream'!$C$16*'02 Assumptions'!J57+'03 CTS_by_Stream'!$C$17*'02 Assumptions'!J58+'03 CTS_by_Stream'!$C$18*('02 Assumptions'!J62/100000000)+'03 CTS_by_Stream'!$C$19*'02 Assumptions'!J63</f>
        <v>12110975.0714286</v>
      </c>
    </row>
    <row r="16" customFormat="false" ht="15" hidden="false" customHeight="true" outlineLevel="0" collapsed="false">
      <c r="A16" s="23" t="s">
        <v>444</v>
      </c>
      <c r="B16" s="115" t="n">
        <v>550000</v>
      </c>
      <c r="C16" s="115" t="n">
        <v>1200000</v>
      </c>
      <c r="D16" s="115" t="n">
        <v>2600000</v>
      </c>
      <c r="E16" s="115" t="n">
        <v>3150000</v>
      </c>
      <c r="F16" s="115" t="n">
        <v>3150000</v>
      </c>
      <c r="G16" s="115" t="n">
        <v>3150000</v>
      </c>
      <c r="H16" s="115" t="n">
        <v>3150000</v>
      </c>
      <c r="I16" s="115" t="n">
        <v>3150000</v>
      </c>
      <c r="J16" s="115" t="n">
        <v>3150000</v>
      </c>
    </row>
    <row r="17" customFormat="false" ht="15" hidden="false" customHeight="true" outlineLevel="0" collapsed="false">
      <c r="A17" s="106" t="s">
        <v>445</v>
      </c>
      <c r="B17" s="142" t="n">
        <f aca="false">B15+B16</f>
        <v>550000</v>
      </c>
      <c r="C17" s="142" t="n">
        <f aca="false">C15+C16</f>
        <v>1941348.07142857</v>
      </c>
      <c r="D17" s="142" t="n">
        <f aca="false">D15+D16</f>
        <v>5072704.21428572</v>
      </c>
      <c r="E17" s="142" t="n">
        <f aca="false">E15+E16</f>
        <v>7306761.5</v>
      </c>
      <c r="F17" s="142" t="n">
        <f aca="false">F15+F16</f>
        <v>8989070.64285714</v>
      </c>
      <c r="G17" s="142" t="n">
        <f aca="false">G15+G16</f>
        <v>10791511.2142857</v>
      </c>
      <c r="H17" s="142" t="n">
        <f aca="false">H15+H16</f>
        <v>12404593.2142857</v>
      </c>
      <c r="I17" s="142" t="n">
        <f aca="false">I15+I16</f>
        <v>13863012.3571429</v>
      </c>
      <c r="J17" s="142" t="n">
        <f aca="false">J15+J16</f>
        <v>15260975.0714286</v>
      </c>
    </row>
    <row r="18" customFormat="false" ht="15" hidden="false" customHeight="true" outlineLevel="0" collapsed="false">
      <c r="A18" s="106" t="s">
        <v>446</v>
      </c>
      <c r="B18" s="143" t="n">
        <f aca="false">B12-B17</f>
        <v>-550000</v>
      </c>
      <c r="C18" s="143" t="n">
        <f aca="false">C12-C17</f>
        <v>5483651.92857143</v>
      </c>
      <c r="D18" s="143" t="n">
        <f aca="false">D12-D17</f>
        <v>15407295.7857143</v>
      </c>
      <c r="E18" s="143" t="n">
        <f aca="false">E12-E17</f>
        <v>29248238.5</v>
      </c>
      <c r="F18" s="143" t="n">
        <f aca="false">F12-F17</f>
        <v>44865929.3571429</v>
      </c>
      <c r="G18" s="143" t="n">
        <f aca="false">G12-G17</f>
        <v>60438488.7857143</v>
      </c>
      <c r="H18" s="143" t="n">
        <f aca="false">H12-H17</f>
        <v>73500406.7857143</v>
      </c>
      <c r="I18" s="143" t="n">
        <f aca="false">I12-I17</f>
        <v>83516987.6428571</v>
      </c>
      <c r="J18" s="143" t="n">
        <f aca="false">J12-J17</f>
        <v>92994024.9285714</v>
      </c>
    </row>
    <row r="19" customFormat="false" ht="15" hidden="false" customHeight="true" outlineLevel="0" collapsed="false">
      <c r="A19" s="144" t="s">
        <v>86</v>
      </c>
      <c r="B19" s="145" t="n">
        <f aca="false">IF(B12=0,0,B18/B12)</f>
        <v>0</v>
      </c>
      <c r="C19" s="145" t="n">
        <f aca="false">IF(C12=0,0,C18/C12)</f>
        <v>0.73853898027898</v>
      </c>
      <c r="D19" s="145" t="n">
        <f aca="false">IF(D12=0,0,D18/D12)</f>
        <v>0.75230936453683</v>
      </c>
      <c r="E19" s="145" t="n">
        <f aca="false">IF(E12=0,0,E18/E12)</f>
        <v>0.800115948570647</v>
      </c>
      <c r="F19" s="145" t="n">
        <f aca="false">IF(F12=0,0,F18/F12)</f>
        <v>0.833087537965702</v>
      </c>
      <c r="G19" s="145" t="n">
        <f aca="false">IF(G12=0,0,G18/G12)</f>
        <v>0.848497666512906</v>
      </c>
      <c r="H19" s="145" t="n">
        <f aca="false">IF(H12=0,0,H18/H12)</f>
        <v>0.855601033533721</v>
      </c>
      <c r="I19" s="145" t="n">
        <f aca="false">IF(I12=0,0,I18/I12)</f>
        <v>0.857640045623918</v>
      </c>
      <c r="J19" s="145" t="n">
        <f aca="false">IF(J12=0,0,J18/J12)</f>
        <v>0.85902752693706</v>
      </c>
    </row>
    <row r="20" customFormat="false" ht="15" hidden="false" customHeight="true" outlineLevel="0" collapsed="false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1" customFormat="false" ht="15" hidden="false" customHeight="true" outlineLevel="0" collapsed="false">
      <c r="A21" s="140" t="s">
        <v>447</v>
      </c>
      <c r="B21" s="141"/>
      <c r="C21" s="141"/>
      <c r="D21" s="141"/>
      <c r="E21" s="141"/>
      <c r="F21" s="141"/>
      <c r="G21" s="141"/>
      <c r="H21" s="141"/>
      <c r="I21" s="141"/>
      <c r="J21" s="141"/>
    </row>
    <row r="22" customFormat="false" ht="15" hidden="false" customHeight="true" outlineLevel="0" collapsed="false">
      <c r="A22" s="23" t="s">
        <v>448</v>
      </c>
      <c r="B22" s="146" t="n">
        <f aca="false">'04 Roadmap'!H22</f>
        <v>1520000</v>
      </c>
      <c r="C22" s="146" t="n">
        <f aca="false">'04 Roadmap'!H23</f>
        <v>2720000</v>
      </c>
      <c r="D22" s="146" t="n">
        <f aca="false">'04 Roadmap'!H24</f>
        <v>4600000</v>
      </c>
      <c r="E22" s="146" t="n">
        <f aca="false">'04 Roadmap'!H25</f>
        <v>6650000</v>
      </c>
      <c r="F22" s="146" t="n">
        <f aca="false">'04 Roadmap'!H26</f>
        <v>10650000</v>
      </c>
      <c r="G22" s="146" t="n">
        <f aca="false">'04 Roadmap'!H27</f>
        <v>12950000</v>
      </c>
      <c r="H22" s="146" t="n">
        <f aca="false">'04 Roadmap'!H28</f>
        <v>13800000</v>
      </c>
      <c r="I22" s="146" t="n">
        <f aca="false">'04 Roadmap'!H29</f>
        <v>14700000</v>
      </c>
      <c r="J22" s="146" t="n">
        <f aca="false">'04 Roadmap'!H30</f>
        <v>15850000</v>
      </c>
    </row>
    <row r="23" customFormat="false" ht="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</row>
    <row r="24" customFormat="false" ht="15" hidden="false" customHeight="true" outlineLevel="0" collapsed="false">
      <c r="A24" s="147" t="s">
        <v>87</v>
      </c>
      <c r="B24" s="148" t="n">
        <f aca="false">B18-B22</f>
        <v>-2070000</v>
      </c>
      <c r="C24" s="148" t="n">
        <f aca="false">C18-C22</f>
        <v>2763651.92857143</v>
      </c>
      <c r="D24" s="148" t="n">
        <f aca="false">D18-D22</f>
        <v>10807295.7857143</v>
      </c>
      <c r="E24" s="148" t="n">
        <f aca="false">E18-E22</f>
        <v>22598238.5</v>
      </c>
      <c r="F24" s="148" t="n">
        <f aca="false">F18-F22</f>
        <v>34215929.3571429</v>
      </c>
      <c r="G24" s="148" t="n">
        <f aca="false">G18-G22</f>
        <v>47488488.7857143</v>
      </c>
      <c r="H24" s="148" t="n">
        <f aca="false">H18-H22</f>
        <v>59700406.7857143</v>
      </c>
      <c r="I24" s="148" t="n">
        <f aca="false">I18-I22</f>
        <v>68816987.6428571</v>
      </c>
      <c r="J24" s="148" t="n">
        <f aca="false">J18-J22</f>
        <v>77144024.9285714</v>
      </c>
    </row>
    <row r="25" customFormat="false" ht="15" hidden="false" customHeight="true" outlineLevel="0" collapsed="false">
      <c r="A25" s="144" t="s">
        <v>88</v>
      </c>
      <c r="B25" s="145" t="n">
        <f aca="false">IF(B12=0,0,B24/B12)</f>
        <v>0</v>
      </c>
      <c r="C25" s="145" t="n">
        <f aca="false">IF(C12=0,0,C24/C12)</f>
        <v>0.372209013949014</v>
      </c>
      <c r="D25" s="145" t="n">
        <f aca="false">IF(D12=0,0,D24/D12)</f>
        <v>0.52769998953683</v>
      </c>
      <c r="E25" s="145" t="n">
        <f aca="false">IF(E12=0,0,E24/E12)</f>
        <v>0.618198290247572</v>
      </c>
      <c r="F25" s="145" t="n">
        <f aca="false">IF(F12=0,0,F24/F12)</f>
        <v>0.635334311710015</v>
      </c>
      <c r="G25" s="145" t="n">
        <f aca="false">IF(G12=0,0,G24/G12)</f>
        <v>0.666692247447905</v>
      </c>
      <c r="H25" s="145" t="n">
        <f aca="false">IF(H12=0,0,H24/H12)</f>
        <v>0.694958463252596</v>
      </c>
      <c r="I25" s="145" t="n">
        <f aca="false">IF(I12=0,0,I24/I12)</f>
        <v>0.706685024058915</v>
      </c>
      <c r="J25" s="145" t="n">
        <f aca="false">IF(J12=0,0,J24/J12)</f>
        <v>0.712613966362491</v>
      </c>
    </row>
    <row r="26" customFormat="false" ht="15" hidden="false" customHeight="true" outlineLevel="0" collapsed="false">
      <c r="A26" s="46"/>
      <c r="B26" s="46"/>
      <c r="C26" s="46"/>
      <c r="D26" s="46"/>
      <c r="E26" s="46"/>
      <c r="F26" s="46"/>
      <c r="G26" s="46"/>
      <c r="H26" s="46"/>
      <c r="I26" s="46"/>
      <c r="J26" s="46"/>
    </row>
    <row r="27" customFormat="false" ht="15" hidden="false" customHeight="true" outlineLevel="0" collapsed="false">
      <c r="A27" s="26" t="s">
        <v>449</v>
      </c>
      <c r="B27" s="26"/>
      <c r="C27" s="26"/>
      <c r="D27" s="26"/>
      <c r="E27" s="26"/>
      <c r="F27" s="26"/>
      <c r="G27" s="26"/>
      <c r="H27" s="26"/>
      <c r="I27" s="26"/>
      <c r="J27" s="26"/>
    </row>
    <row r="28" customFormat="false" ht="15" hidden="false" customHeight="true" outlineLevel="0" collapsed="false">
      <c r="A28" s="23" t="s">
        <v>450</v>
      </c>
      <c r="B28" s="115" t="n">
        <v>0</v>
      </c>
      <c r="C28" s="115" t="n">
        <v>0</v>
      </c>
      <c r="D28" s="115" t="n">
        <v>0</v>
      </c>
      <c r="E28" s="115" t="n">
        <v>0</v>
      </c>
      <c r="F28" s="115" t="n">
        <v>0</v>
      </c>
      <c r="G28" s="115" t="n">
        <v>0</v>
      </c>
      <c r="H28" s="115" t="n">
        <v>0</v>
      </c>
      <c r="I28" s="115" t="n">
        <v>0</v>
      </c>
      <c r="J28" s="115" t="n">
        <v>0</v>
      </c>
    </row>
    <row r="29" customFormat="false" ht="15" hidden="false" customHeight="true" outlineLevel="0" collapsed="false">
      <c r="A29" s="106" t="s">
        <v>451</v>
      </c>
      <c r="B29" s="142" t="n">
        <f aca="false">B24-B28</f>
        <v>-2070000</v>
      </c>
      <c r="C29" s="142" t="n">
        <f aca="false">C24-C28</f>
        <v>2763651.92857143</v>
      </c>
      <c r="D29" s="142" t="n">
        <f aca="false">D24-D28</f>
        <v>10807295.7857143</v>
      </c>
      <c r="E29" s="142" t="n">
        <f aca="false">E24-E28</f>
        <v>22598238.5</v>
      </c>
      <c r="F29" s="142" t="n">
        <f aca="false">F24-F28</f>
        <v>34215929.3571429</v>
      </c>
      <c r="G29" s="142" t="n">
        <f aca="false">G24-G28</f>
        <v>47488488.7857143</v>
      </c>
      <c r="H29" s="142" t="n">
        <f aca="false">H24-H28</f>
        <v>59700406.7857143</v>
      </c>
      <c r="I29" s="142" t="n">
        <f aca="false">I24-I28</f>
        <v>68816987.6428571</v>
      </c>
      <c r="J29" s="142" t="n">
        <f aca="false">J24-J28</f>
        <v>77144024.9285714</v>
      </c>
    </row>
    <row r="30" customFormat="false" ht="15" hidden="false" customHeight="true" outlineLevel="0" collapsed="false">
      <c r="A30" s="46"/>
      <c r="B30" s="46"/>
      <c r="C30" s="46"/>
      <c r="D30" s="46"/>
      <c r="E30" s="46"/>
      <c r="F30" s="46"/>
      <c r="G30" s="46"/>
      <c r="H30" s="46"/>
      <c r="I30" s="46"/>
      <c r="J30" s="46"/>
    </row>
    <row r="31" customFormat="false" ht="15" hidden="false" customHeight="true" outlineLevel="0" collapsed="false">
      <c r="A31" s="149" t="s">
        <v>452</v>
      </c>
      <c r="B31" s="149"/>
      <c r="C31" s="149"/>
      <c r="D31" s="149"/>
      <c r="E31" s="149"/>
      <c r="F31" s="149"/>
      <c r="G31" s="149"/>
      <c r="H31" s="149"/>
      <c r="I31" s="149"/>
      <c r="J31" s="149"/>
    </row>
    <row r="32" customFormat="false" ht="15" hidden="false" customHeight="true" outlineLevel="0" collapsed="false">
      <c r="A32" s="150" t="s">
        <v>453</v>
      </c>
      <c r="B32" s="151" t="n">
        <v>3700000</v>
      </c>
      <c r="C32" s="151" t="n">
        <v>8500000</v>
      </c>
      <c r="D32" s="151" t="n">
        <v>6600000</v>
      </c>
      <c r="E32" s="151" t="n">
        <v>519500</v>
      </c>
      <c r="F32" s="151" t="n">
        <v>0</v>
      </c>
      <c r="G32" s="151" t="n">
        <v>0</v>
      </c>
      <c r="H32" s="151" t="n">
        <v>0</v>
      </c>
      <c r="I32" s="151" t="n">
        <v>0</v>
      </c>
      <c r="J32" s="151" t="n">
        <v>0</v>
      </c>
    </row>
    <row r="33" customFormat="false" ht="15" hidden="false" customHeight="true" outlineLevel="0" collapsed="false">
      <c r="A33" s="23" t="s">
        <v>454</v>
      </c>
      <c r="B33" s="115" t="n">
        <f aca="false">B32</f>
        <v>3700000</v>
      </c>
      <c r="C33" s="115" t="n">
        <f aca="false">B33+C32</f>
        <v>12200000</v>
      </c>
      <c r="D33" s="115" t="n">
        <f aca="false">C33+D32</f>
        <v>18800000</v>
      </c>
      <c r="E33" s="115" t="n">
        <f aca="false">D33+E32</f>
        <v>19319500</v>
      </c>
      <c r="F33" s="115" t="n">
        <f aca="false">E33+F32</f>
        <v>19319500</v>
      </c>
      <c r="G33" s="115" t="n">
        <f aca="false">F33+G32</f>
        <v>19319500</v>
      </c>
      <c r="H33" s="115" t="n">
        <f aca="false">G33+H32</f>
        <v>19319500</v>
      </c>
      <c r="I33" s="115" t="n">
        <f aca="false">H33+I32</f>
        <v>19319500</v>
      </c>
      <c r="J33" s="115" t="n">
        <f aca="false">I33+J32</f>
        <v>19319500</v>
      </c>
    </row>
    <row r="34" customFormat="false" ht="15" hidden="false" customHeight="true" outlineLevel="0" collapsed="false">
      <c r="A34" s="106" t="s">
        <v>455</v>
      </c>
      <c r="B34" s="143" t="n">
        <f aca="false">SUM(B32:J32)</f>
        <v>19319500</v>
      </c>
      <c r="C34" s="152" t="s">
        <v>456</v>
      </c>
      <c r="D34" s="152"/>
      <c r="E34" s="152"/>
      <c r="F34" s="152"/>
      <c r="G34" s="152"/>
      <c r="H34" s="152"/>
      <c r="I34" s="152"/>
      <c r="J34" s="152"/>
    </row>
    <row r="35" customFormat="false" ht="15" hidden="false" customHeight="true" outlineLevel="0" collapsed="false">
      <c r="A35" s="46"/>
      <c r="B35" s="46"/>
      <c r="C35" s="46"/>
      <c r="D35" s="46"/>
      <c r="E35" s="46"/>
      <c r="F35" s="46"/>
      <c r="G35" s="46"/>
      <c r="H35" s="46"/>
      <c r="I35" s="46"/>
      <c r="J35" s="46"/>
    </row>
    <row r="36" customFormat="false" ht="15" hidden="false" customHeight="true" outlineLevel="0" collapsed="false">
      <c r="A36" s="153" t="s">
        <v>457</v>
      </c>
      <c r="B36" s="153"/>
      <c r="C36" s="153"/>
      <c r="D36" s="153"/>
      <c r="E36" s="153"/>
      <c r="F36" s="153"/>
      <c r="G36" s="153"/>
      <c r="H36" s="153"/>
      <c r="I36" s="153"/>
      <c r="J36" s="153"/>
    </row>
    <row r="37" customFormat="false" ht="15" hidden="false" customHeight="true" outlineLevel="0" collapsed="false">
      <c r="A37" s="23" t="s">
        <v>458</v>
      </c>
      <c r="B37" s="115" t="n">
        <f aca="false">B24</f>
        <v>-2070000</v>
      </c>
      <c r="C37" s="115" t="n">
        <f aca="false">C24</f>
        <v>2763651.92857143</v>
      </c>
      <c r="D37" s="115" t="n">
        <f aca="false">D24</f>
        <v>10807295.7857143</v>
      </c>
      <c r="E37" s="115" t="n">
        <f aca="false">E24</f>
        <v>22598238.5</v>
      </c>
      <c r="F37" s="115" t="n">
        <f aca="false">F24</f>
        <v>34215929.3571429</v>
      </c>
      <c r="G37" s="115" t="n">
        <f aca="false">G24</f>
        <v>47488488.7857143</v>
      </c>
      <c r="H37" s="115" t="n">
        <f aca="false">H24</f>
        <v>59700406.7857143</v>
      </c>
      <c r="I37" s="115" t="n">
        <f aca="false">I24</f>
        <v>68816987.6428571</v>
      </c>
      <c r="J37" s="115" t="n">
        <f aca="false">J24</f>
        <v>77144024.9285714</v>
      </c>
    </row>
    <row r="38" customFormat="false" ht="15" hidden="false" customHeight="true" outlineLevel="0" collapsed="false">
      <c r="A38" s="23" t="s">
        <v>459</v>
      </c>
      <c r="B38" s="115" t="n">
        <f aca="false">'20 Depreciation'!B15</f>
        <v>462500</v>
      </c>
      <c r="C38" s="115" t="n">
        <f aca="false">'20 Depreciation'!C15</f>
        <v>1525000</v>
      </c>
      <c r="D38" s="115" t="n">
        <f aca="false">'20 Depreciation'!D15</f>
        <v>2350000</v>
      </c>
      <c r="E38" s="115" t="n">
        <f aca="false">'20 Depreciation'!E15</f>
        <v>2414937.5</v>
      </c>
      <c r="F38" s="115" t="n">
        <f aca="false">'20 Depreciation'!F15</f>
        <v>2414937.5</v>
      </c>
      <c r="G38" s="115" t="n">
        <f aca="false">'20 Depreciation'!G15</f>
        <v>2414937.5</v>
      </c>
      <c r="H38" s="115" t="n">
        <f aca="false">'20 Depreciation'!H15</f>
        <v>2414937.5</v>
      </c>
      <c r="I38" s="115" t="n">
        <f aca="false">'20 Depreciation'!I15</f>
        <v>2414937.5</v>
      </c>
      <c r="J38" s="115" t="n">
        <f aca="false">'20 Depreciation'!J15</f>
        <v>1952437.5</v>
      </c>
    </row>
    <row r="39" customFormat="false" ht="15" hidden="false" customHeight="true" outlineLevel="0" collapsed="false">
      <c r="A39" s="106" t="s">
        <v>460</v>
      </c>
      <c r="B39" s="142" t="n">
        <f aca="false">B37-B38</f>
        <v>-2532500</v>
      </c>
      <c r="C39" s="142" t="n">
        <f aca="false">C37-C38</f>
        <v>1238651.92857143</v>
      </c>
      <c r="D39" s="142" t="n">
        <f aca="false">D37-D38</f>
        <v>8457295.78571429</v>
      </c>
      <c r="E39" s="142" t="n">
        <f aca="false">E37-E38</f>
        <v>20183301</v>
      </c>
      <c r="F39" s="142" t="n">
        <f aca="false">F37-F38</f>
        <v>31800991.8571429</v>
      </c>
      <c r="G39" s="142" t="n">
        <f aca="false">G37-G38</f>
        <v>45073551.2857143</v>
      </c>
      <c r="H39" s="142" t="n">
        <f aca="false">H37-H38</f>
        <v>57285469.2857143</v>
      </c>
      <c r="I39" s="142" t="n">
        <f aca="false">I37-I38</f>
        <v>66402050.1428571</v>
      </c>
      <c r="J39" s="142" t="n">
        <f aca="false">J37-J38</f>
        <v>75191587.4285714</v>
      </c>
    </row>
    <row r="40" customFormat="false" ht="15" hidden="false" customHeight="true" outlineLevel="0" collapsed="false">
      <c r="A40" s="154" t="s">
        <v>461</v>
      </c>
      <c r="B40" s="155" t="n">
        <f aca="false">B39-B29</f>
        <v>-462500</v>
      </c>
      <c r="C40" s="155" t="n">
        <f aca="false">C39-C29</f>
        <v>-1525000</v>
      </c>
      <c r="D40" s="155" t="n">
        <f aca="false">D39-D29</f>
        <v>-2350000</v>
      </c>
      <c r="E40" s="155" t="n">
        <f aca="false">E39-E29</f>
        <v>-2414937.5</v>
      </c>
      <c r="F40" s="155" t="n">
        <f aca="false">F39-F29</f>
        <v>-2414937.5</v>
      </c>
      <c r="G40" s="155" t="n">
        <f aca="false">G39-G29</f>
        <v>-2414937.5</v>
      </c>
      <c r="H40" s="155" t="n">
        <f aca="false">H39-H29</f>
        <v>-2414937.5</v>
      </c>
      <c r="I40" s="155" t="n">
        <f aca="false">I39-I29</f>
        <v>-2414937.5</v>
      </c>
      <c r="J40" s="155" t="n">
        <f aca="false">J39-J29</f>
        <v>-1952437.5</v>
      </c>
    </row>
    <row r="41" customFormat="false" ht="15" hidden="false" customHeight="true" outlineLevel="0" collapsed="false">
      <c r="A41" s="150" t="s">
        <v>462</v>
      </c>
      <c r="B41" s="151" t="n">
        <f aca="false">B32</f>
        <v>3700000</v>
      </c>
      <c r="C41" s="151" t="n">
        <f aca="false">C32</f>
        <v>8500000</v>
      </c>
      <c r="D41" s="151" t="n">
        <f aca="false">D32</f>
        <v>6600000</v>
      </c>
      <c r="E41" s="151" t="n">
        <f aca="false">E32</f>
        <v>519500</v>
      </c>
      <c r="F41" s="151" t="n">
        <f aca="false">F32</f>
        <v>0</v>
      </c>
      <c r="G41" s="151" t="n">
        <f aca="false">G32</f>
        <v>0</v>
      </c>
      <c r="H41" s="151" t="n">
        <f aca="false">H32</f>
        <v>0</v>
      </c>
      <c r="I41" s="151" t="n">
        <f aca="false">I32</f>
        <v>0</v>
      </c>
      <c r="J41" s="151" t="n">
        <f aca="false">J32</f>
        <v>0</v>
      </c>
    </row>
    <row r="42" customFormat="false" ht="15" hidden="false" customHeight="true" outlineLevel="0" collapsed="false">
      <c r="A42" s="46"/>
      <c r="B42" s="46"/>
      <c r="C42" s="46"/>
      <c r="D42" s="46"/>
      <c r="E42" s="46"/>
      <c r="F42" s="46"/>
      <c r="G42" s="46"/>
      <c r="H42" s="46"/>
      <c r="I42" s="46"/>
      <c r="J42" s="46"/>
    </row>
    <row r="43" customFormat="false" ht="57.75" hidden="false" customHeight="true" outlineLevel="0" collapsed="false">
      <c r="A43" s="156" t="s">
        <v>463</v>
      </c>
      <c r="B43" s="156"/>
      <c r="C43" s="156"/>
      <c r="D43" s="156"/>
      <c r="E43" s="156"/>
      <c r="F43" s="156"/>
      <c r="G43" s="156"/>
      <c r="H43" s="156"/>
      <c r="I43" s="156"/>
      <c r="J43" s="156"/>
    </row>
  </sheetData>
  <mergeCells count="7">
    <mergeCell ref="A2:J2"/>
    <mergeCell ref="A3:J3"/>
    <mergeCell ref="A27:J27"/>
    <mergeCell ref="A31:J31"/>
    <mergeCell ref="C34:J34"/>
    <mergeCell ref="A36:J36"/>
    <mergeCell ref="A43:J43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3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K20" activeCellId="0" sqref="K20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40"/>
    <col collapsed="false" customWidth="true" hidden="false" outlineLevel="0" max="10" min="2" style="1" width="15"/>
  </cols>
  <sheetData>
    <row r="1" customFormat="false" ht="17.25" hidden="false" customHeight="true" outlineLevel="0" collapsed="false">
      <c r="A1" s="157" t="s">
        <v>464</v>
      </c>
    </row>
    <row r="2" customFormat="false" ht="33.75" hidden="false" customHeight="true" outlineLevel="0" collapsed="false">
      <c r="A2" s="158" t="s">
        <v>465</v>
      </c>
      <c r="B2" s="158"/>
      <c r="C2" s="158"/>
      <c r="D2" s="158"/>
      <c r="E2" s="158"/>
      <c r="F2" s="158"/>
      <c r="G2" s="158"/>
      <c r="H2" s="158"/>
      <c r="I2" s="158"/>
      <c r="J2" s="158"/>
    </row>
    <row r="4" customFormat="false" ht="15" hidden="false" customHeight="true" outlineLevel="0" collapsed="false">
      <c r="A4" s="159"/>
      <c r="B4" s="139" t="s">
        <v>75</v>
      </c>
      <c r="C4" s="139" t="s">
        <v>76</v>
      </c>
      <c r="D4" s="139" t="s">
        <v>77</v>
      </c>
      <c r="E4" s="139" t="s">
        <v>78</v>
      </c>
      <c r="F4" s="139" t="s">
        <v>79</v>
      </c>
      <c r="G4" s="139" t="s">
        <v>80</v>
      </c>
      <c r="H4" s="139" t="s">
        <v>81</v>
      </c>
      <c r="I4" s="139" t="s">
        <v>82</v>
      </c>
      <c r="J4" s="139" t="s">
        <v>83</v>
      </c>
    </row>
    <row r="5" customFormat="false" ht="15" hidden="false" customHeight="true" outlineLevel="0" collapsed="false">
      <c r="A5" s="160" t="s">
        <v>466</v>
      </c>
      <c r="B5" s="161"/>
      <c r="C5" s="161"/>
      <c r="D5" s="161"/>
      <c r="E5" s="161"/>
      <c r="F5" s="161"/>
      <c r="G5" s="161"/>
      <c r="H5" s="161"/>
      <c r="I5" s="161"/>
      <c r="J5" s="161"/>
    </row>
    <row r="6" customFormat="false" ht="15" hidden="false" customHeight="true" outlineLevel="0" collapsed="false">
      <c r="A6" s="162" t="s">
        <v>467</v>
      </c>
      <c r="B6" s="115" t="n">
        <f aca="false">'05 P&amp;L'!B24-'07 Balance_Sheet'!$B$5*MAX('05 P&amp;L'!B24,0)</f>
        <v>-2070000</v>
      </c>
      <c r="C6" s="115" t="n">
        <f aca="false">'05 P&amp;L'!C24-'07 Balance_Sheet'!$B$5*MAX('05 P&amp;L'!C24,0)</f>
        <v>2625469.33214286</v>
      </c>
      <c r="D6" s="115" t="n">
        <f aca="false">'05 P&amp;L'!D24-'07 Balance_Sheet'!$B$5*MAX('05 P&amp;L'!D24,0)</f>
        <v>10266930.9964286</v>
      </c>
      <c r="E6" s="115" t="n">
        <f aca="false">'05 P&amp;L'!E24-'07 Balance_Sheet'!$B$5*MAX('05 P&amp;L'!E24,0)</f>
        <v>21468326.575</v>
      </c>
      <c r="F6" s="115" t="n">
        <f aca="false">'05 P&amp;L'!F24-'07 Balance_Sheet'!$B$5*MAX('05 P&amp;L'!F24,0)</f>
        <v>32505132.8892857</v>
      </c>
      <c r="G6" s="115" t="n">
        <f aca="false">'05 P&amp;L'!G24-'07 Balance_Sheet'!$B$5*MAX('05 P&amp;L'!G24,0)</f>
        <v>45114064.3464286</v>
      </c>
      <c r="H6" s="115" t="n">
        <f aca="false">'05 P&amp;L'!H24-'07 Balance_Sheet'!$B$5*MAX('05 P&amp;L'!H24,0)</f>
        <v>56715386.4464286</v>
      </c>
      <c r="I6" s="115" t="n">
        <f aca="false">'05 P&amp;L'!I24-'07 Balance_Sheet'!$B$5*MAX('05 P&amp;L'!I24,0)</f>
        <v>65376138.2607143</v>
      </c>
      <c r="J6" s="115" t="n">
        <f aca="false">'05 P&amp;L'!J24-'07 Balance_Sheet'!$B$5*MAX('05 P&amp;L'!J24,0)</f>
        <v>73286823.6821429</v>
      </c>
    </row>
    <row r="7" customFormat="false" ht="15" hidden="false" customHeight="true" outlineLevel="0" collapsed="false">
      <c r="A7" s="162" t="s">
        <v>468</v>
      </c>
      <c r="B7" s="115" t="n">
        <f aca="false">0</f>
        <v>0</v>
      </c>
      <c r="C7" s="115" t="n">
        <f aca="false">0</f>
        <v>0</v>
      </c>
      <c r="D7" s="115" t="n">
        <f aca="false">0</f>
        <v>0</v>
      </c>
      <c r="E7" s="115" t="n">
        <f aca="false">0</f>
        <v>0</v>
      </c>
      <c r="F7" s="115" t="n">
        <f aca="false">0</f>
        <v>0</v>
      </c>
      <c r="G7" s="115" t="n">
        <f aca="false">0</f>
        <v>0</v>
      </c>
      <c r="H7" s="115" t="n">
        <f aca="false">0</f>
        <v>0</v>
      </c>
      <c r="I7" s="115" t="n">
        <f aca="false">0</f>
        <v>0</v>
      </c>
      <c r="J7" s="115" t="n">
        <f aca="false">0</f>
        <v>0</v>
      </c>
    </row>
    <row r="8" customFormat="false" ht="15" hidden="false" customHeight="true" outlineLevel="0" collapsed="false">
      <c r="A8" s="162" t="s">
        <v>469</v>
      </c>
      <c r="B8" s="115" t="n">
        <f aca="false">-'07 Balance_Sheet'!B12</f>
        <v>-0</v>
      </c>
      <c r="C8" s="115" t="n">
        <f aca="false">-('07 Balance_Sheet'!C12-'07 Balance_Sheet'!B12)</f>
        <v>-1830821.91780822</v>
      </c>
      <c r="D8" s="115" t="n">
        <f aca="false">-('07 Balance_Sheet'!D12-'07 Balance_Sheet'!C12)</f>
        <v>-3219041.09589041</v>
      </c>
      <c r="E8" s="115" t="n">
        <f aca="false">-('07 Balance_Sheet'!E12-'07 Balance_Sheet'!D12)</f>
        <v>-3963698.63013699</v>
      </c>
      <c r="F8" s="115" t="n">
        <f aca="false">-('07 Balance_Sheet'!F12-'07 Balance_Sheet'!E12)</f>
        <v>-4265753.42465753</v>
      </c>
      <c r="G8" s="115" t="n">
        <f aca="false">-('07 Balance_Sheet'!G12-'07 Balance_Sheet'!F12)</f>
        <v>-4284246.57534247</v>
      </c>
      <c r="H8" s="115" t="n">
        <f aca="false">-('07 Balance_Sheet'!H12-'07 Balance_Sheet'!G12)</f>
        <v>-3618493.15068493</v>
      </c>
      <c r="I8" s="115" t="n">
        <f aca="false">-('07 Balance_Sheet'!I12-'07 Balance_Sheet'!H12)</f>
        <v>-2829452.05479452</v>
      </c>
      <c r="J8" s="115" t="n">
        <f aca="false">-('07 Balance_Sheet'!J12-'07 Balance_Sheet'!I12)</f>
        <v>-2681506.84931507</v>
      </c>
    </row>
    <row r="9" customFormat="false" ht="15" hidden="false" customHeight="true" outlineLevel="0" collapsed="false">
      <c r="A9" s="162" t="s">
        <v>470</v>
      </c>
      <c r="B9" s="115" t="n">
        <f aca="false">'07 Balance_Sheet'!B17</f>
        <v>0</v>
      </c>
      <c r="C9" s="115" t="n">
        <f aca="false">'07 Balance_Sheet'!C17-'07 Balance_Sheet'!B17</f>
        <v>120000</v>
      </c>
      <c r="D9" s="115" t="n">
        <f aca="false">'07 Balance_Sheet'!D17-'07 Balance_Sheet'!C17</f>
        <v>1380000</v>
      </c>
      <c r="E9" s="115" t="n">
        <f aca="false">'07 Balance_Sheet'!E17-'07 Balance_Sheet'!D17</f>
        <v>2200000</v>
      </c>
      <c r="F9" s="115" t="n">
        <f aca="false">'07 Balance_Sheet'!F17-'07 Balance_Sheet'!E17</f>
        <v>3000000</v>
      </c>
      <c r="G9" s="115" t="n">
        <f aca="false">'07 Balance_Sheet'!G17-'07 Balance_Sheet'!F17</f>
        <v>3000000</v>
      </c>
      <c r="H9" s="115" t="n">
        <f aca="false">'07 Balance_Sheet'!H17-'07 Balance_Sheet'!G17</f>
        <v>2300000</v>
      </c>
      <c r="I9" s="115" t="n">
        <f aca="false">'07 Balance_Sheet'!I17-'07 Balance_Sheet'!H17</f>
        <v>1500000</v>
      </c>
      <c r="J9" s="115" t="n">
        <f aca="false">'07 Balance_Sheet'!J17-'07 Balance_Sheet'!I17</f>
        <v>1500000</v>
      </c>
    </row>
    <row r="10" customFormat="false" ht="15" hidden="false" customHeight="true" outlineLevel="0" collapsed="false">
      <c r="A10" s="162" t="s">
        <v>471</v>
      </c>
      <c r="B10" s="115" t="n">
        <f aca="false">'07 Balance_Sheet'!B20</f>
        <v>170136.98630137</v>
      </c>
      <c r="C10" s="115" t="n">
        <f aca="false">'07 Balance_Sheet'!C20-'07 Balance_Sheet'!B20</f>
        <v>212987.512720157</v>
      </c>
      <c r="D10" s="115" t="n">
        <f aca="false">'07 Balance_Sheet'!D20-'07 Balance_Sheet'!C20</f>
        <v>411892.285714286</v>
      </c>
      <c r="E10" s="115" t="n">
        <f aca="false">'07 Balance_Sheet'!E20-'07 Balance_Sheet'!D20</f>
        <v>352114.297455969</v>
      </c>
      <c r="F10" s="115" t="n">
        <f aca="false">'07 Balance_Sheet'!F20-'07 Balance_Sheet'!E20</f>
        <v>467039.107632094</v>
      </c>
      <c r="G10" s="115" t="n">
        <f aca="false">'07 Balance_Sheet'!G20-'07 Balance_Sheet'!F20</f>
        <v>337186.8962818</v>
      </c>
      <c r="H10" s="115" t="n">
        <f aca="false">'07 Balance_Sheet'!H20-'07 Balance_Sheet'!G20</f>
        <v>202445.095890411</v>
      </c>
      <c r="I10" s="115" t="n">
        <f aca="false">'07 Balance_Sheet'!I20-'07 Balance_Sheet'!H20</f>
        <v>193842.66927593</v>
      </c>
      <c r="J10" s="115" t="n">
        <f aca="false">'07 Balance_Sheet'!J20-'07 Balance_Sheet'!I20</f>
        <v>209421.59295499</v>
      </c>
    </row>
    <row r="11" customFormat="false" ht="15" hidden="false" customHeight="true" outlineLevel="0" collapsed="false">
      <c r="A11" s="162" t="s">
        <v>472</v>
      </c>
      <c r="B11" s="115" t="n">
        <f aca="false">'07 Balance_Sheet'!B19</f>
        <v>0</v>
      </c>
      <c r="C11" s="115" t="n">
        <f aca="false">'07 Balance_Sheet'!C19-'07 Balance_Sheet'!B19</f>
        <v>34545.6491071429</v>
      </c>
      <c r="D11" s="115" t="n">
        <f aca="false">'07 Balance_Sheet'!D19-'07 Balance_Sheet'!C19</f>
        <v>100545.548214286</v>
      </c>
      <c r="E11" s="115" t="n">
        <f aca="false">'07 Balance_Sheet'!E19-'07 Balance_Sheet'!D19</f>
        <v>147386.783928571</v>
      </c>
      <c r="F11" s="115" t="n">
        <f aca="false">'07 Balance_Sheet'!F19-'07 Balance_Sheet'!E19</f>
        <v>145221.135714286</v>
      </c>
      <c r="G11" s="115" t="n">
        <f aca="false">'07 Balance_Sheet'!G19-'07 Balance_Sheet'!F19</f>
        <v>165906.992857143</v>
      </c>
      <c r="H11" s="115" t="n">
        <f aca="false">'07 Balance_Sheet'!H19-'07 Balance_Sheet'!G19</f>
        <v>152648.975</v>
      </c>
      <c r="I11" s="115" t="n">
        <f aca="false">'07 Balance_Sheet'!I19-'07 Balance_Sheet'!H19</f>
        <v>113957.260714286</v>
      </c>
      <c r="J11" s="115" t="n">
        <f aca="false">'07 Balance_Sheet'!J19-'07 Balance_Sheet'!I19</f>
        <v>104087.966071429</v>
      </c>
    </row>
    <row r="12" customFormat="false" ht="15" hidden="false" customHeight="true" outlineLevel="0" collapsed="false">
      <c r="A12" s="163" t="s">
        <v>473</v>
      </c>
      <c r="B12" s="164" t="n">
        <f aca="false">SUM(B6:B11)</f>
        <v>-1899863.01369863</v>
      </c>
      <c r="C12" s="164" t="n">
        <f aca="false">SUM(C6:C11)</f>
        <v>1162180.57616194</v>
      </c>
      <c r="D12" s="164" t="n">
        <f aca="false">SUM(D6:D11)</f>
        <v>8940327.73446673</v>
      </c>
      <c r="E12" s="164" t="n">
        <f aca="false">SUM(E6:E11)</f>
        <v>20204129.0262476</v>
      </c>
      <c r="F12" s="164" t="n">
        <f aca="false">SUM(F6:F11)</f>
        <v>31851639.7079746</v>
      </c>
      <c r="G12" s="164" t="n">
        <f aca="false">SUM(G6:G11)</f>
        <v>44332911.6602251</v>
      </c>
      <c r="H12" s="164" t="n">
        <f aca="false">SUM(H6:H11)</f>
        <v>55751987.366634</v>
      </c>
      <c r="I12" s="164" t="n">
        <f aca="false">SUM(I6:I11)</f>
        <v>64354486.13591</v>
      </c>
      <c r="J12" s="164" t="n">
        <f aca="false">SUM(J6:J11)</f>
        <v>72418826.3918542</v>
      </c>
    </row>
    <row r="14" customFormat="false" ht="15" hidden="false" customHeight="true" outlineLevel="0" collapsed="false">
      <c r="A14" s="160" t="s">
        <v>474</v>
      </c>
      <c r="B14" s="161"/>
      <c r="C14" s="161"/>
      <c r="D14" s="161"/>
      <c r="E14" s="161"/>
      <c r="F14" s="161"/>
      <c r="G14" s="161"/>
      <c r="H14" s="161"/>
      <c r="I14" s="161"/>
      <c r="J14" s="161"/>
    </row>
    <row r="15" customFormat="false" ht="15" hidden="false" customHeight="true" outlineLevel="0" collapsed="false">
      <c r="A15" s="162" t="s">
        <v>475</v>
      </c>
      <c r="B15" s="115" t="n">
        <v>-3700000</v>
      </c>
      <c r="C15" s="115" t="n">
        <v>-8500000</v>
      </c>
      <c r="D15" s="115" t="n">
        <v>-6600000</v>
      </c>
      <c r="E15" s="115" t="n">
        <v>-519500</v>
      </c>
      <c r="F15" s="115" t="n">
        <v>0</v>
      </c>
      <c r="G15" s="115" t="n">
        <v>0</v>
      </c>
      <c r="H15" s="115" t="n">
        <v>0</v>
      </c>
      <c r="I15" s="115" t="n">
        <v>0</v>
      </c>
      <c r="J15" s="115" t="n">
        <v>0</v>
      </c>
    </row>
    <row r="16" customFormat="false" ht="15" hidden="false" customHeight="true" outlineLevel="0" collapsed="false">
      <c r="A16" s="163" t="s">
        <v>476</v>
      </c>
      <c r="B16" s="164" t="n">
        <f aca="false">B15</f>
        <v>-3700000</v>
      </c>
      <c r="C16" s="164" t="n">
        <f aca="false">C15</f>
        <v>-8500000</v>
      </c>
      <c r="D16" s="164" t="n">
        <f aca="false">D15</f>
        <v>-6600000</v>
      </c>
      <c r="E16" s="164" t="n">
        <f aca="false">E15</f>
        <v>-519500</v>
      </c>
      <c r="F16" s="164" t="n">
        <f aca="false">F15</f>
        <v>0</v>
      </c>
      <c r="G16" s="164" t="n">
        <f aca="false">G15</f>
        <v>0</v>
      </c>
      <c r="H16" s="164" t="n">
        <f aca="false">H15</f>
        <v>0</v>
      </c>
      <c r="I16" s="164" t="n">
        <f aca="false">I15</f>
        <v>0</v>
      </c>
      <c r="J16" s="164" t="n">
        <f aca="false">J15</f>
        <v>0</v>
      </c>
    </row>
    <row r="18" customFormat="false" ht="15" hidden="false" customHeight="true" outlineLevel="0" collapsed="false">
      <c r="A18" s="160" t="s">
        <v>477</v>
      </c>
      <c r="B18" s="161"/>
      <c r="C18" s="161"/>
      <c r="D18" s="161"/>
      <c r="E18" s="161"/>
      <c r="F18" s="161"/>
      <c r="G18" s="161"/>
      <c r="H18" s="161"/>
      <c r="I18" s="161"/>
      <c r="J18" s="161"/>
    </row>
    <row r="19" customFormat="false" ht="15" hidden="false" customHeight="true" outlineLevel="0" collapsed="false">
      <c r="A19" s="162" t="s">
        <v>478</v>
      </c>
      <c r="B19" s="115" t="n">
        <v>3700000</v>
      </c>
      <c r="C19" s="115" t="n">
        <v>8500000</v>
      </c>
      <c r="D19" s="115" t="n">
        <v>6600000</v>
      </c>
      <c r="E19" s="115" t="n">
        <v>519500</v>
      </c>
      <c r="F19" s="115" t="n">
        <v>0</v>
      </c>
      <c r="G19" s="115" t="n">
        <v>0</v>
      </c>
      <c r="H19" s="115" t="n">
        <v>0</v>
      </c>
      <c r="I19" s="115" t="n">
        <v>0</v>
      </c>
      <c r="J19" s="115" t="n">
        <v>0</v>
      </c>
    </row>
    <row r="20" customFormat="false" ht="15" hidden="false" customHeight="true" outlineLevel="0" collapsed="false">
      <c r="A20" s="162" t="s">
        <v>479</v>
      </c>
      <c r="B20" s="115" t="n">
        <v>3600000</v>
      </c>
      <c r="C20" s="115" t="n">
        <v>0</v>
      </c>
      <c r="D20" s="115" t="n">
        <v>0</v>
      </c>
      <c r="E20" s="115" t="n">
        <v>0</v>
      </c>
      <c r="F20" s="115" t="n">
        <v>0</v>
      </c>
      <c r="G20" s="115" t="n">
        <v>0</v>
      </c>
      <c r="H20" s="115" t="n">
        <v>0</v>
      </c>
      <c r="I20" s="115" t="n">
        <v>0</v>
      </c>
      <c r="J20" s="115" t="n">
        <v>0</v>
      </c>
    </row>
    <row r="21" customFormat="false" ht="15" hidden="false" customHeight="true" outlineLevel="0" collapsed="false">
      <c r="A21" s="162" t="s">
        <v>480</v>
      </c>
      <c r="B21" s="115" t="n">
        <f aca="false">'07 Balance_Sheet'!B18-149900</f>
        <v>0</v>
      </c>
      <c r="C21" s="115" t="n">
        <f aca="false">'07 Balance_Sheet'!C18-'07 Balance_Sheet'!B18</f>
        <v>-149900</v>
      </c>
      <c r="D21" s="115" t="n">
        <f aca="false">'07 Balance_Sheet'!D18-'07 Balance_Sheet'!C18</f>
        <v>0</v>
      </c>
      <c r="E21" s="115" t="n">
        <f aca="false">'07 Balance_Sheet'!E18-'07 Balance_Sheet'!D18</f>
        <v>0</v>
      </c>
      <c r="F21" s="115" t="n">
        <f aca="false">'07 Balance_Sheet'!F18-'07 Balance_Sheet'!E18</f>
        <v>0</v>
      </c>
      <c r="G21" s="115" t="n">
        <f aca="false">'07 Balance_Sheet'!G18-'07 Balance_Sheet'!F18</f>
        <v>0</v>
      </c>
      <c r="H21" s="115" t="n">
        <f aca="false">'07 Balance_Sheet'!H18-'07 Balance_Sheet'!G18</f>
        <v>0</v>
      </c>
      <c r="I21" s="115" t="n">
        <f aca="false">'07 Balance_Sheet'!I18-'07 Balance_Sheet'!H18</f>
        <v>0</v>
      </c>
      <c r="J21" s="115" t="n">
        <f aca="false">'07 Balance_Sheet'!J18-'07 Balance_Sheet'!I18</f>
        <v>0</v>
      </c>
    </row>
    <row r="22" customFormat="false" ht="15" hidden="false" customHeight="true" outlineLevel="0" collapsed="false">
      <c r="A22" s="163" t="s">
        <v>481</v>
      </c>
      <c r="B22" s="164" t="n">
        <f aca="false">SUM(B19:B21)</f>
        <v>7300000</v>
      </c>
      <c r="C22" s="164" t="n">
        <f aca="false">SUM(C19:C21)</f>
        <v>8350100</v>
      </c>
      <c r="D22" s="164" t="n">
        <f aca="false">SUM(D19:D21)</f>
        <v>6600000</v>
      </c>
      <c r="E22" s="164" t="n">
        <f aca="false">SUM(E19:E21)</f>
        <v>519500</v>
      </c>
      <c r="F22" s="164" t="n">
        <f aca="false">SUM(F19:F21)</f>
        <v>0</v>
      </c>
      <c r="G22" s="164" t="n">
        <f aca="false">SUM(G19:G21)</f>
        <v>0</v>
      </c>
      <c r="H22" s="164" t="n">
        <f aca="false">SUM(H19:H21)</f>
        <v>0</v>
      </c>
      <c r="I22" s="164" t="n">
        <f aca="false">SUM(I19:I21)</f>
        <v>0</v>
      </c>
      <c r="J22" s="164" t="n">
        <f aca="false">SUM(J19:J21)</f>
        <v>0</v>
      </c>
    </row>
    <row r="24" customFormat="false" ht="15" hidden="false" customHeight="true" outlineLevel="0" collapsed="false">
      <c r="A24" s="160" t="s">
        <v>482</v>
      </c>
      <c r="B24" s="161"/>
      <c r="C24" s="161"/>
      <c r="D24" s="161"/>
      <c r="E24" s="161"/>
      <c r="F24" s="161"/>
      <c r="G24" s="161"/>
      <c r="H24" s="161"/>
      <c r="I24" s="161"/>
      <c r="J24" s="161"/>
    </row>
    <row r="25" customFormat="false" ht="15" hidden="false" customHeight="true" outlineLevel="0" collapsed="false">
      <c r="A25" s="163" t="s">
        <v>483</v>
      </c>
      <c r="B25" s="38" t="n">
        <v>0</v>
      </c>
      <c r="C25" s="38" t="n">
        <v>2900000</v>
      </c>
      <c r="D25" s="38" t="n">
        <v>10150000</v>
      </c>
      <c r="E25" s="38" t="n">
        <v>20300000</v>
      </c>
      <c r="F25" s="38" t="n">
        <v>29000000</v>
      </c>
      <c r="G25" s="38" t="n">
        <v>29000000</v>
      </c>
      <c r="H25" s="38" t="n">
        <v>29000000</v>
      </c>
      <c r="I25" s="38" t="n">
        <v>29000000</v>
      </c>
      <c r="J25" s="38" t="n">
        <v>29000000</v>
      </c>
    </row>
    <row r="26" customFormat="false" ht="15" hidden="false" customHeight="true" outlineLevel="0" collapsed="false">
      <c r="A26" s="165" t="s">
        <v>484</v>
      </c>
      <c r="B26" s="165"/>
      <c r="C26" s="165"/>
      <c r="D26" s="165"/>
      <c r="E26" s="165"/>
      <c r="F26" s="165"/>
      <c r="G26" s="165"/>
      <c r="H26" s="165"/>
      <c r="I26" s="165"/>
      <c r="J26" s="165"/>
    </row>
    <row r="27" customFormat="false" ht="15" hidden="false" customHeight="true" outlineLevel="0" collapsed="false">
      <c r="A27" s="166" t="s">
        <v>485</v>
      </c>
      <c r="B27" s="167" t="n">
        <f aca="false">B12+B16+B22+B25</f>
        <v>1700136.98630137</v>
      </c>
      <c r="C27" s="167" t="n">
        <f aca="false">C12+C16+C22+C25</f>
        <v>3912280.57616194</v>
      </c>
      <c r="D27" s="167" t="n">
        <f aca="false">D12+D16+D22+D25</f>
        <v>19090327.7344667</v>
      </c>
      <c r="E27" s="167" t="n">
        <f aca="false">E12+E16+E22+E25</f>
        <v>40504129.0262476</v>
      </c>
      <c r="F27" s="167" t="n">
        <f aca="false">F12+F16+F22+F25</f>
        <v>60851639.7079746</v>
      </c>
      <c r="G27" s="167" t="n">
        <f aca="false">G12+G16+G22+G25</f>
        <v>73332911.6602251</v>
      </c>
      <c r="H27" s="167" t="n">
        <f aca="false">H12+H16+H22+H25</f>
        <v>84751987.366634</v>
      </c>
      <c r="I27" s="167" t="n">
        <f aca="false">I12+I16+I22+I25</f>
        <v>93354486.13591</v>
      </c>
      <c r="J27" s="167" t="n">
        <f aca="false">J12+J16+J22+J25</f>
        <v>101418826.391854</v>
      </c>
    </row>
    <row r="28" customFormat="false" ht="15" hidden="false" customHeight="true" outlineLevel="0" collapsed="false">
      <c r="A28" s="168" t="s">
        <v>486</v>
      </c>
      <c r="B28" s="169" t="n">
        <f aca="false">B27</f>
        <v>1700136.98630137</v>
      </c>
      <c r="C28" s="169" t="n">
        <f aca="false">B28+C27</f>
        <v>5612417.56246331</v>
      </c>
      <c r="D28" s="169" t="n">
        <f aca="false">C28+D27</f>
        <v>24702745.29693</v>
      </c>
      <c r="E28" s="169" t="n">
        <f aca="false">D28+E27</f>
        <v>65206874.3231776</v>
      </c>
      <c r="F28" s="169" t="n">
        <f aca="false">E28+F27</f>
        <v>126058514.031152</v>
      </c>
      <c r="G28" s="169" t="n">
        <f aca="false">F28+G27</f>
        <v>199391425.691377</v>
      </c>
      <c r="H28" s="169" t="n">
        <f aca="false">G28+H27</f>
        <v>284143413.058011</v>
      </c>
      <c r="I28" s="169" t="n">
        <f aca="false">H28+I27</f>
        <v>377497899.193921</v>
      </c>
      <c r="J28" s="169" t="n">
        <f aca="false">I28+J27</f>
        <v>478916725.585776</v>
      </c>
    </row>
    <row r="29" customFormat="false" ht="15" hidden="false" customHeight="true" outlineLevel="0" collapsed="false">
      <c r="A29" s="170" t="s">
        <v>487</v>
      </c>
      <c r="B29" s="171" t="n">
        <f aca="false">B12+B16+B22</f>
        <v>1700136.98630137</v>
      </c>
      <c r="C29" s="171" t="n">
        <f aca="false">B29+C12+C16+C22</f>
        <v>2712417.56246331</v>
      </c>
      <c r="D29" s="171" t="n">
        <f aca="false">C29+D12+D16+D22</f>
        <v>11652745.29693</v>
      </c>
      <c r="E29" s="171" t="n">
        <f aca="false">D29+E12+E16+E22</f>
        <v>31856874.3231776</v>
      </c>
      <c r="F29" s="171" t="n">
        <f aca="false">E29+F12+F16+F22</f>
        <v>63708514.0311522</v>
      </c>
      <c r="G29" s="171" t="n">
        <f aca="false">F29+G12+G16+G22</f>
        <v>108041425.691377</v>
      </c>
      <c r="H29" s="171" t="n">
        <f aca="false">G29+H12+H16+H22</f>
        <v>163793413.058011</v>
      </c>
      <c r="I29" s="171" t="n">
        <f aca="false">H29+I12+I16+I22</f>
        <v>228147899.193921</v>
      </c>
      <c r="J29" s="171" t="n">
        <f aca="false">I29+J12+J16+J22</f>
        <v>300566725.585775</v>
      </c>
    </row>
    <row r="30" customFormat="false" ht="15" hidden="false" customHeight="true" outlineLevel="0" collapsed="false">
      <c r="A30" s="12" t="s">
        <v>488</v>
      </c>
    </row>
    <row r="31" customFormat="false" ht="15" hidden="false" customHeight="true" outlineLevel="0" collapsed="false">
      <c r="A31" s="162" t="s">
        <v>489</v>
      </c>
      <c r="B31" s="115" t="n">
        <f aca="false">B28-'07 Balance_Sheet'!B11</f>
        <v>0</v>
      </c>
      <c r="C31" s="115" t="n">
        <f aca="false">C28-'07 Balance_Sheet'!C11</f>
        <v>0</v>
      </c>
      <c r="D31" s="115" t="n">
        <f aca="false">D28-'07 Balance_Sheet'!D11</f>
        <v>0</v>
      </c>
      <c r="E31" s="115" t="n">
        <f aca="false">E28-'07 Balance_Sheet'!E11</f>
        <v>0</v>
      </c>
      <c r="F31" s="115" t="n">
        <f aca="false">F28-'07 Balance_Sheet'!F11</f>
        <v>0</v>
      </c>
      <c r="G31" s="115" t="n">
        <f aca="false">G28-'07 Balance_Sheet'!G11</f>
        <v>0</v>
      </c>
      <c r="H31" s="115" t="n">
        <f aca="false">H28-'07 Balance_Sheet'!H11</f>
        <v>0</v>
      </c>
      <c r="I31" s="115" t="n">
        <f aca="false">I28-'07 Balance_Sheet'!I11</f>
        <v>0</v>
      </c>
      <c r="J31" s="115" t="n">
        <f aca="false">J28-'07 Balance_Sheet'!J11</f>
        <v>0</v>
      </c>
    </row>
    <row r="33" customFormat="false" ht="27.75" hidden="false" customHeight="true" outlineLevel="0" collapsed="false">
      <c r="A33" s="158" t="s">
        <v>490</v>
      </c>
      <c r="B33" s="158"/>
      <c r="C33" s="158"/>
      <c r="D33" s="158"/>
      <c r="E33" s="158"/>
      <c r="F33" s="158"/>
      <c r="G33" s="158"/>
      <c r="H33" s="158"/>
      <c r="I33" s="158"/>
      <c r="J33" s="158"/>
    </row>
  </sheetData>
  <mergeCells count="3">
    <mergeCell ref="A2:J2"/>
    <mergeCell ref="A26:J26"/>
    <mergeCell ref="A33:J33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5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6"/>
    <col collapsed="false" customWidth="true" hidden="false" outlineLevel="0" max="10" min="2" style="1" width="14"/>
  </cols>
  <sheetData>
    <row r="1" customFormat="false" ht="17.25" hidden="false" customHeight="true" outlineLevel="0" collapsed="false">
      <c r="A1" s="157" t="s">
        <v>491</v>
      </c>
    </row>
    <row r="2" customFormat="false" ht="39.75" hidden="false" customHeight="true" outlineLevel="0" collapsed="false">
      <c r="A2" s="158" t="s">
        <v>492</v>
      </c>
      <c r="B2" s="158"/>
      <c r="C2" s="158"/>
      <c r="D2" s="158"/>
      <c r="E2" s="158"/>
      <c r="F2" s="158"/>
      <c r="G2" s="158"/>
      <c r="H2" s="158"/>
      <c r="I2" s="158"/>
      <c r="J2" s="158"/>
    </row>
    <row r="4" customFormat="false" ht="15" hidden="false" customHeight="true" outlineLevel="0" collapsed="false">
      <c r="A4" s="172" t="s">
        <v>493</v>
      </c>
    </row>
    <row r="5" customFormat="false" ht="15" hidden="false" customHeight="true" outlineLevel="0" collapsed="false">
      <c r="A5" s="162" t="s">
        <v>494</v>
      </c>
      <c r="B5" s="173" t="n">
        <v>0.05</v>
      </c>
    </row>
    <row r="6" customFormat="false" ht="15" hidden="false" customHeight="true" outlineLevel="0" collapsed="false">
      <c r="A6" s="162" t="s">
        <v>495</v>
      </c>
      <c r="B6" s="174" t="n">
        <v>90</v>
      </c>
    </row>
    <row r="7" customFormat="false" ht="15" hidden="false" customHeight="true" outlineLevel="0" collapsed="false">
      <c r="A7" s="162" t="s">
        <v>496</v>
      </c>
      <c r="B7" s="173" t="n">
        <v>0.4</v>
      </c>
    </row>
    <row r="9" customFormat="false" ht="15" hidden="false" customHeight="true" outlineLevel="0" collapsed="false">
      <c r="A9" s="159"/>
      <c r="B9" s="139" t="s">
        <v>75</v>
      </c>
      <c r="C9" s="139" t="s">
        <v>76</v>
      </c>
      <c r="D9" s="139" t="s">
        <v>77</v>
      </c>
      <c r="E9" s="139" t="s">
        <v>78</v>
      </c>
      <c r="F9" s="139" t="s">
        <v>79</v>
      </c>
      <c r="G9" s="139" t="s">
        <v>80</v>
      </c>
      <c r="H9" s="139" t="s">
        <v>81</v>
      </c>
      <c r="I9" s="139" t="s">
        <v>82</v>
      </c>
      <c r="J9" s="139" t="s">
        <v>83</v>
      </c>
    </row>
    <row r="10" customFormat="false" ht="15" hidden="false" customHeight="true" outlineLevel="0" collapsed="false">
      <c r="A10" s="160" t="s">
        <v>497</v>
      </c>
      <c r="B10" s="161"/>
      <c r="C10" s="161"/>
      <c r="D10" s="161"/>
      <c r="E10" s="161"/>
      <c r="F10" s="161"/>
      <c r="G10" s="161"/>
      <c r="H10" s="161"/>
      <c r="I10" s="161"/>
      <c r="J10" s="161"/>
    </row>
    <row r="11" customFormat="false" ht="15" hidden="false" customHeight="true" outlineLevel="0" collapsed="false">
      <c r="A11" s="162" t="s">
        <v>498</v>
      </c>
      <c r="B11" s="175" t="n">
        <f aca="false">(B21+B28)-(B12+B13)</f>
        <v>1700136.98630137</v>
      </c>
      <c r="C11" s="175" t="n">
        <f aca="false">(C21+C28)-(C12+C13)</f>
        <v>5612417.56246331</v>
      </c>
      <c r="D11" s="175" t="n">
        <f aca="false">(D21+D28)-(D12+D13)</f>
        <v>24702745.29693</v>
      </c>
      <c r="E11" s="175" t="n">
        <f aca="false">(E21+E28)-(E12+E13)</f>
        <v>65206874.3231776</v>
      </c>
      <c r="F11" s="175" t="n">
        <f aca="false">(F21+F28)-(F12+F13)</f>
        <v>126058514.031152</v>
      </c>
      <c r="G11" s="175" t="n">
        <f aca="false">(G21+G28)-(G12+G13)</f>
        <v>199391425.691377</v>
      </c>
      <c r="H11" s="175" t="n">
        <f aca="false">(H21+H28)-(H12+H13)</f>
        <v>284143413.058011</v>
      </c>
      <c r="I11" s="175" t="n">
        <f aca="false">(I21+I28)-(I12+I13)</f>
        <v>377497899.193921</v>
      </c>
      <c r="J11" s="175" t="n">
        <f aca="false">(J21+J28)-(J12+J13)</f>
        <v>478916725.585775</v>
      </c>
    </row>
    <row r="12" customFormat="false" ht="15" hidden="false" customHeight="true" outlineLevel="0" collapsed="false">
      <c r="A12" s="162" t="s">
        <v>499</v>
      </c>
      <c r="B12" s="175" t="n">
        <f aca="false">'05 P&amp;L'!B12*$B$6/365</f>
        <v>0</v>
      </c>
      <c r="C12" s="175" t="n">
        <f aca="false">'05 P&amp;L'!C12*$B$6/365</f>
        <v>1830821.91780822</v>
      </c>
      <c r="D12" s="175" t="n">
        <f aca="false">'05 P&amp;L'!D12*$B$6/365</f>
        <v>5049863.01369863</v>
      </c>
      <c r="E12" s="175" t="n">
        <f aca="false">'05 P&amp;L'!E12*$B$6/365</f>
        <v>9013561.64383562</v>
      </c>
      <c r="F12" s="175" t="n">
        <f aca="false">'05 P&amp;L'!F12*$B$6/365</f>
        <v>13279315.0684932</v>
      </c>
      <c r="G12" s="175" t="n">
        <f aca="false">'05 P&amp;L'!G12*$B$6/365</f>
        <v>17563561.6438356</v>
      </c>
      <c r="H12" s="175" t="n">
        <f aca="false">'05 P&amp;L'!H12*$B$6/365</f>
        <v>21182054.7945206</v>
      </c>
      <c r="I12" s="175" t="n">
        <f aca="false">'05 P&amp;L'!I12*$B$6/365</f>
        <v>24011506.8493151</v>
      </c>
      <c r="J12" s="175" t="n">
        <f aca="false">'05 P&amp;L'!J12*$B$6/365</f>
        <v>26693013.6986301</v>
      </c>
    </row>
    <row r="13" customFormat="false" ht="15" hidden="false" customHeight="true" outlineLevel="0" collapsed="false">
      <c r="A13" s="162" t="s">
        <v>500</v>
      </c>
      <c r="B13" s="175" t="n">
        <f aca="false">13400</f>
        <v>13400</v>
      </c>
      <c r="C13" s="175" t="n">
        <f aca="false">13400</f>
        <v>13400</v>
      </c>
      <c r="D13" s="175" t="n">
        <f aca="false">13400</f>
        <v>13400</v>
      </c>
      <c r="E13" s="175" t="n">
        <f aca="false">13400</f>
        <v>13400</v>
      </c>
      <c r="F13" s="175" t="n">
        <f aca="false">13400</f>
        <v>13400</v>
      </c>
      <c r="G13" s="175" t="n">
        <f aca="false">13400</f>
        <v>13400</v>
      </c>
      <c r="H13" s="175" t="n">
        <f aca="false">13400</f>
        <v>13400</v>
      </c>
      <c r="I13" s="175" t="n">
        <f aca="false">13400</f>
        <v>13400</v>
      </c>
      <c r="J13" s="175" t="n">
        <f aca="false">13400</f>
        <v>13400</v>
      </c>
    </row>
    <row r="14" customFormat="false" ht="15" hidden="false" customHeight="true" outlineLevel="0" collapsed="false">
      <c r="A14" s="163" t="s">
        <v>501</v>
      </c>
      <c r="B14" s="176" t="n">
        <f aca="false">B11+B12+B13</f>
        <v>1713536.98630137</v>
      </c>
      <c r="C14" s="176" t="n">
        <f aca="false">C11+C12+C13</f>
        <v>7456639.48027153</v>
      </c>
      <c r="D14" s="176" t="n">
        <f aca="false">D11+D12+D13</f>
        <v>29766008.3106287</v>
      </c>
      <c r="E14" s="176" t="n">
        <f aca="false">E11+E12+E13</f>
        <v>74233835.9670132</v>
      </c>
      <c r="F14" s="176" t="n">
        <f aca="false">F11+F12+F13</f>
        <v>139351229.099645</v>
      </c>
      <c r="G14" s="176" t="n">
        <f aca="false">G11+G12+G13</f>
        <v>216968387.335213</v>
      </c>
      <c r="H14" s="176" t="n">
        <f aca="false">H11+H12+H13</f>
        <v>305338867.852532</v>
      </c>
      <c r="I14" s="176" t="n">
        <f aca="false">I11+I12+I13</f>
        <v>401522806.043236</v>
      </c>
      <c r="J14" s="176" t="n">
        <f aca="false">J11+J12+J13</f>
        <v>505623139.284406</v>
      </c>
    </row>
    <row r="16" customFormat="false" ht="15" hidden="false" customHeight="true" outlineLevel="0" collapsed="false">
      <c r="A16" s="160" t="s">
        <v>502</v>
      </c>
      <c r="B16" s="161"/>
      <c r="C16" s="161"/>
      <c r="D16" s="161"/>
      <c r="E16" s="161"/>
      <c r="F16" s="161"/>
      <c r="G16" s="161"/>
      <c r="H16" s="161"/>
      <c r="I16" s="161"/>
      <c r="J16" s="161"/>
    </row>
    <row r="17" customFormat="false" ht="15" hidden="false" customHeight="true" outlineLevel="0" collapsed="false">
      <c r="A17" s="162" t="s">
        <v>503</v>
      </c>
      <c r="B17" s="175" t="n">
        <f aca="false">'05 P&amp;L'!B8*$B$7</f>
        <v>0</v>
      </c>
      <c r="C17" s="175" t="n">
        <f aca="false">'05 P&amp;L'!C8*$B$7</f>
        <v>120000</v>
      </c>
      <c r="D17" s="175" t="n">
        <f aca="false">'05 P&amp;L'!D8*$B$7</f>
        <v>1500000</v>
      </c>
      <c r="E17" s="175" t="n">
        <f aca="false">'05 P&amp;L'!E8*$B$7</f>
        <v>3700000</v>
      </c>
      <c r="F17" s="175" t="n">
        <f aca="false">'05 P&amp;L'!F8*$B$7</f>
        <v>6700000</v>
      </c>
      <c r="G17" s="175" t="n">
        <f aca="false">'05 P&amp;L'!G8*$B$7</f>
        <v>9700000</v>
      </c>
      <c r="H17" s="175" t="n">
        <f aca="false">'05 P&amp;L'!H8*$B$7</f>
        <v>12000000</v>
      </c>
      <c r="I17" s="175" t="n">
        <f aca="false">'05 P&amp;L'!I8*$B$7</f>
        <v>13500000</v>
      </c>
      <c r="J17" s="175" t="n">
        <f aca="false">'05 P&amp;L'!J8*$B$7</f>
        <v>15000000</v>
      </c>
    </row>
    <row r="18" customFormat="false" ht="15" hidden="false" customHeight="true" outlineLevel="0" collapsed="false">
      <c r="A18" s="162" t="s">
        <v>504</v>
      </c>
      <c r="B18" s="175" t="n">
        <f aca="false">149900</f>
        <v>149900</v>
      </c>
      <c r="C18" s="175" t="n">
        <f aca="false">0</f>
        <v>0</v>
      </c>
      <c r="D18" s="175" t="n">
        <f aca="false">0</f>
        <v>0</v>
      </c>
      <c r="E18" s="175" t="n">
        <f aca="false">0</f>
        <v>0</v>
      </c>
      <c r="F18" s="175" t="n">
        <f aca="false">0</f>
        <v>0</v>
      </c>
      <c r="G18" s="175" t="n">
        <f aca="false">0</f>
        <v>0</v>
      </c>
      <c r="H18" s="175" t="n">
        <f aca="false">0</f>
        <v>0</v>
      </c>
      <c r="I18" s="175" t="n">
        <f aca="false">0</f>
        <v>0</v>
      </c>
      <c r="J18" s="175" t="n">
        <f aca="false">0</f>
        <v>0</v>
      </c>
    </row>
    <row r="19" customFormat="false" ht="15" hidden="false" customHeight="true" outlineLevel="0" collapsed="false">
      <c r="A19" s="162" t="s">
        <v>505</v>
      </c>
      <c r="B19" s="175" t="n">
        <f aca="false">$B$5*MAX('05 P&amp;L'!B24,0)*0.25</f>
        <v>0</v>
      </c>
      <c r="C19" s="175" t="n">
        <f aca="false">$B$5*MAX('05 P&amp;L'!C24,0)*0.25</f>
        <v>34545.6491071429</v>
      </c>
      <c r="D19" s="175" t="n">
        <f aca="false">$B$5*MAX('05 P&amp;L'!D24,0)*0.25</f>
        <v>135091.197321429</v>
      </c>
      <c r="E19" s="175" t="n">
        <f aca="false">$B$5*MAX('05 P&amp;L'!E24,0)*0.25</f>
        <v>282477.98125</v>
      </c>
      <c r="F19" s="175" t="n">
        <f aca="false">$B$5*MAX('05 P&amp;L'!F24,0)*0.25</f>
        <v>427699.116964286</v>
      </c>
      <c r="G19" s="175" t="n">
        <f aca="false">$B$5*MAX('05 P&amp;L'!G24,0)*0.25</f>
        <v>593606.109821429</v>
      </c>
      <c r="H19" s="175" t="n">
        <f aca="false">$B$5*MAX('05 P&amp;L'!H24,0)*0.25</f>
        <v>746255.084821429</v>
      </c>
      <c r="I19" s="175" t="n">
        <f aca="false">$B$5*MAX('05 P&amp;L'!I24,0)*0.25</f>
        <v>860212.345535714</v>
      </c>
      <c r="J19" s="175" t="n">
        <f aca="false">$B$5*MAX('05 P&amp;L'!J24,0)*0.25</f>
        <v>964300.311607143</v>
      </c>
    </row>
    <row r="20" customFormat="false" ht="15" hidden="false" customHeight="true" outlineLevel="0" collapsed="false">
      <c r="A20" s="162" t="s">
        <v>506</v>
      </c>
      <c r="B20" s="175" t="n">
        <f aca="false">('05 P&amp;L'!B17+'05 P&amp;L'!B22)*30/365</f>
        <v>170136.98630137</v>
      </c>
      <c r="C20" s="175" t="n">
        <f aca="false">('05 P&amp;L'!C17+'05 P&amp;L'!C22)*30/365</f>
        <v>383124.499021527</v>
      </c>
      <c r="D20" s="175" t="n">
        <f aca="false">('05 P&amp;L'!D17+'05 P&amp;L'!D22)*30/365</f>
        <v>795016.784735812</v>
      </c>
      <c r="E20" s="175" t="n">
        <f aca="false">('05 P&amp;L'!E17+'05 P&amp;L'!E22)*30/365</f>
        <v>1147131.08219178</v>
      </c>
      <c r="F20" s="175" t="n">
        <f aca="false">('05 P&amp;L'!F17+'05 P&amp;L'!F22)*30/365</f>
        <v>1614170.18982387</v>
      </c>
      <c r="G20" s="175" t="n">
        <f aca="false">('05 P&amp;L'!G17+'05 P&amp;L'!G22)*30/365</f>
        <v>1951357.08610568</v>
      </c>
      <c r="H20" s="175" t="n">
        <f aca="false">('05 P&amp;L'!H17+'05 P&amp;L'!H22)*30/365</f>
        <v>2153802.18199609</v>
      </c>
      <c r="I20" s="175" t="n">
        <f aca="false">('05 P&amp;L'!I17+'05 P&amp;L'!I22)*30/365</f>
        <v>2347644.85127202</v>
      </c>
      <c r="J20" s="175" t="n">
        <f aca="false">('05 P&amp;L'!J17+'05 P&amp;L'!J22)*30/365</f>
        <v>2557066.44422701</v>
      </c>
    </row>
    <row r="21" customFormat="false" ht="15" hidden="false" customHeight="true" outlineLevel="0" collapsed="false">
      <c r="A21" s="163" t="s">
        <v>507</v>
      </c>
      <c r="B21" s="176" t="n">
        <f aca="false">SUM(B17:B20)</f>
        <v>320036.98630137</v>
      </c>
      <c r="C21" s="176" t="n">
        <f aca="false">SUM(C17:C20)</f>
        <v>537670.148128669</v>
      </c>
      <c r="D21" s="176" t="n">
        <f aca="false">SUM(D17:D20)</f>
        <v>2430107.98205724</v>
      </c>
      <c r="E21" s="176" t="n">
        <f aca="false">SUM(E17:E20)</f>
        <v>5129609.06344178</v>
      </c>
      <c r="F21" s="176" t="n">
        <f aca="false">SUM(F17:F20)</f>
        <v>8741869.30678816</v>
      </c>
      <c r="G21" s="176" t="n">
        <f aca="false">SUM(G17:G20)</f>
        <v>12244963.1959271</v>
      </c>
      <c r="H21" s="176" t="n">
        <f aca="false">SUM(H17:H20)</f>
        <v>14900057.2668175</v>
      </c>
      <c r="I21" s="176" t="n">
        <f aca="false">SUM(I17:I20)</f>
        <v>16707857.1968077</v>
      </c>
      <c r="J21" s="176" t="n">
        <f aca="false">SUM(J17:J20)</f>
        <v>18521366.7558341</v>
      </c>
    </row>
    <row r="23" customFormat="false" ht="15" hidden="false" customHeight="true" outlineLevel="0" collapsed="false">
      <c r="A23" s="160" t="s">
        <v>508</v>
      </c>
      <c r="B23" s="161"/>
      <c r="C23" s="161"/>
      <c r="D23" s="161"/>
      <c r="E23" s="161"/>
      <c r="F23" s="161"/>
      <c r="G23" s="161"/>
      <c r="H23" s="161"/>
      <c r="I23" s="161"/>
      <c r="J23" s="161"/>
    </row>
    <row r="24" customFormat="false" ht="15" hidden="false" customHeight="true" outlineLevel="0" collapsed="false">
      <c r="A24" s="162" t="s">
        <v>509</v>
      </c>
      <c r="B24" s="175" t="n">
        <f aca="false">3600000</f>
        <v>3600000</v>
      </c>
      <c r="C24" s="175" t="n">
        <f aca="false">3600000</f>
        <v>3600000</v>
      </c>
      <c r="D24" s="175" t="n">
        <f aca="false">3600000</f>
        <v>3600000</v>
      </c>
      <c r="E24" s="175" t="n">
        <f aca="false">3600000</f>
        <v>3600000</v>
      </c>
      <c r="F24" s="175" t="n">
        <f aca="false">3600000</f>
        <v>3600000</v>
      </c>
      <c r="G24" s="175" t="n">
        <f aca="false">3600000</f>
        <v>3600000</v>
      </c>
      <c r="H24" s="175" t="n">
        <f aca="false">3600000</f>
        <v>3600000</v>
      </c>
      <c r="I24" s="175" t="n">
        <f aca="false">3600000</f>
        <v>3600000</v>
      </c>
      <c r="J24" s="175" t="n">
        <f aca="false">3600000</f>
        <v>3600000</v>
      </c>
    </row>
    <row r="25" customFormat="false" ht="15" hidden="false" customHeight="true" outlineLevel="0" collapsed="false">
      <c r="A25" s="162" t="s">
        <v>510</v>
      </c>
      <c r="B25" s="175" t="n">
        <f aca="false">-136500+'05 P&amp;L'!B24-$B$5*MAX('05 P&amp;L'!B24,0)</f>
        <v>-2206500</v>
      </c>
      <c r="C25" s="175" t="n">
        <f aca="false">B25+'05 P&amp;L'!C24-$B$5*MAX('05 P&amp;L'!C24,0)</f>
        <v>418969.332142857</v>
      </c>
      <c r="D25" s="175" t="n">
        <f aca="false">C25+'05 P&amp;L'!D24-$B$5*MAX('05 P&amp;L'!D24,0)</f>
        <v>10685900.3285714</v>
      </c>
      <c r="E25" s="175" t="n">
        <f aca="false">D25+'05 P&amp;L'!E24-$B$5*MAX('05 P&amp;L'!E24,0)</f>
        <v>32154226.9035714</v>
      </c>
      <c r="F25" s="175" t="n">
        <f aca="false">E25+'05 P&amp;L'!F24-$B$5*MAX('05 P&amp;L'!F24,0)</f>
        <v>64659359.7928571</v>
      </c>
      <c r="G25" s="175" t="n">
        <f aca="false">F25+'05 P&amp;L'!G24-$B$5*MAX('05 P&amp;L'!G24,0)</f>
        <v>109773424.139286</v>
      </c>
      <c r="H25" s="175" t="n">
        <f aca="false">G25+'05 P&amp;L'!H24-$B$5*MAX('05 P&amp;L'!H24,0)</f>
        <v>166488810.585714</v>
      </c>
      <c r="I25" s="175" t="n">
        <f aca="false">H25+'05 P&amp;L'!I24-$B$5*MAX('05 P&amp;L'!I24,0)</f>
        <v>231864948.846429</v>
      </c>
      <c r="J25" s="175" t="n">
        <f aca="false">I25+'05 P&amp;L'!J24-$B$5*MAX('05 P&amp;L'!J24,0)</f>
        <v>305151772.528571</v>
      </c>
    </row>
    <row r="26" customFormat="false" ht="15" hidden="false" customHeight="true" outlineLevel="0" collapsed="false">
      <c r="A26" s="162" t="s">
        <v>511</v>
      </c>
      <c r="B26" s="175" t="n">
        <f aca="false">0.7*SUM('06 Cash-Flow'!$B$25:B25)</f>
        <v>0</v>
      </c>
      <c r="C26" s="175" t="n">
        <f aca="false">0.7*SUM('06 Cash-Flow'!$B$25:C25)</f>
        <v>2030000</v>
      </c>
      <c r="D26" s="175" t="n">
        <f aca="false">0.7*SUM('06 Cash-Flow'!$B$25:D25)</f>
        <v>9135000</v>
      </c>
      <c r="E26" s="175" t="n">
        <f aca="false">0.7*SUM('06 Cash-Flow'!$B$25:E25)</f>
        <v>23345000</v>
      </c>
      <c r="F26" s="175" t="n">
        <f aca="false">0.7*SUM('06 Cash-Flow'!$B$25:F25)</f>
        <v>43645000</v>
      </c>
      <c r="G26" s="175" t="n">
        <f aca="false">0.7*SUM('06 Cash-Flow'!$B$25:G25)</f>
        <v>63945000</v>
      </c>
      <c r="H26" s="175" t="n">
        <f aca="false">0.7*SUM('06 Cash-Flow'!$B$25:H25)</f>
        <v>84245000</v>
      </c>
      <c r="I26" s="175" t="n">
        <f aca="false">0.7*SUM('06 Cash-Flow'!$B$25:I25)</f>
        <v>104545000</v>
      </c>
      <c r="J26" s="175" t="n">
        <f aca="false">0.7*SUM('06 Cash-Flow'!$B$25:J25)</f>
        <v>124845000</v>
      </c>
    </row>
    <row r="27" customFormat="false" ht="15" hidden="false" customHeight="true" outlineLevel="0" collapsed="false">
      <c r="A27" s="162" t="s">
        <v>512</v>
      </c>
      <c r="B27" s="175" t="n">
        <f aca="false">0.3*SUM('06 Cash-Flow'!$B$25:B25)</f>
        <v>0</v>
      </c>
      <c r="C27" s="175" t="n">
        <f aca="false">0.3*SUM('06 Cash-Flow'!$B$25:C25)</f>
        <v>870000</v>
      </c>
      <c r="D27" s="175" t="n">
        <f aca="false">0.3*SUM('06 Cash-Flow'!$B$25:D25)</f>
        <v>3915000</v>
      </c>
      <c r="E27" s="175" t="n">
        <f aca="false">0.3*SUM('06 Cash-Flow'!$B$25:E25)</f>
        <v>10005000</v>
      </c>
      <c r="F27" s="175" t="n">
        <f aca="false">0.3*SUM('06 Cash-Flow'!$B$25:F25)</f>
        <v>18705000</v>
      </c>
      <c r="G27" s="175" t="n">
        <f aca="false">0.3*SUM('06 Cash-Flow'!$B$25:G25)</f>
        <v>27405000</v>
      </c>
      <c r="H27" s="175" t="n">
        <f aca="false">0.3*SUM('06 Cash-Flow'!$B$25:H25)</f>
        <v>36105000</v>
      </c>
      <c r="I27" s="175" t="n">
        <f aca="false">0.3*SUM('06 Cash-Flow'!$B$25:I25)</f>
        <v>44805000</v>
      </c>
      <c r="J27" s="175" t="n">
        <f aca="false">0.3*SUM('06 Cash-Flow'!$B$25:J25)</f>
        <v>53505000</v>
      </c>
    </row>
    <row r="28" customFormat="false" ht="15" hidden="false" customHeight="true" outlineLevel="0" collapsed="false">
      <c r="A28" s="163" t="s">
        <v>513</v>
      </c>
      <c r="B28" s="176" t="n">
        <f aca="false">SUM(B24:B27)</f>
        <v>1393500</v>
      </c>
      <c r="C28" s="176" t="n">
        <f aca="false">SUM(C24:C27)</f>
        <v>6918969.33214286</v>
      </c>
      <c r="D28" s="176" t="n">
        <f aca="false">SUM(D24:D27)</f>
        <v>27335900.3285714</v>
      </c>
      <c r="E28" s="176" t="n">
        <f aca="false">SUM(E24:E27)</f>
        <v>69104226.9035714</v>
      </c>
      <c r="F28" s="176" t="n">
        <f aca="false">SUM(F24:F27)</f>
        <v>130609359.792857</v>
      </c>
      <c r="G28" s="176" t="n">
        <f aca="false">SUM(G24:G27)</f>
        <v>204723424.139286</v>
      </c>
      <c r="H28" s="176" t="n">
        <f aca="false">SUM(H24:H27)</f>
        <v>290438810.585714</v>
      </c>
      <c r="I28" s="176" t="n">
        <f aca="false">SUM(I24:I27)</f>
        <v>384814948.846429</v>
      </c>
      <c r="J28" s="176" t="n">
        <f aca="false">SUM(J24:J27)</f>
        <v>487101772.528571</v>
      </c>
    </row>
    <row r="30" customFormat="false" ht="15" hidden="false" customHeight="true" outlineLevel="0" collapsed="false">
      <c r="A30" s="177" t="s">
        <v>514</v>
      </c>
      <c r="B30" s="178" t="n">
        <f aca="false">B14-B21-B28</f>
        <v>0</v>
      </c>
      <c r="C30" s="178" t="n">
        <f aca="false">C14-C21-C28</f>
        <v>0</v>
      </c>
      <c r="D30" s="178" t="n">
        <f aca="false">D14-D21-D28</f>
        <v>0</v>
      </c>
      <c r="E30" s="178" t="n">
        <f aca="false">E14-E21-E28</f>
        <v>0</v>
      </c>
      <c r="F30" s="178" t="n">
        <f aca="false">F14-F21-F28</f>
        <v>0</v>
      </c>
      <c r="G30" s="178" t="n">
        <f aca="false">G14-G21-G28</f>
        <v>0</v>
      </c>
      <c r="H30" s="178" t="n">
        <f aca="false">H14-H21-H28</f>
        <v>0</v>
      </c>
      <c r="I30" s="178" t="n">
        <f aca="false">I14-I21-I28</f>
        <v>0</v>
      </c>
      <c r="J30" s="178" t="n">
        <f aca="false">J14-J21-J28</f>
        <v>0</v>
      </c>
    </row>
    <row r="32" customFormat="false" ht="15" hidden="false" customHeight="true" outlineLevel="0" collapsed="false">
      <c r="A32" s="160" t="s">
        <v>515</v>
      </c>
      <c r="B32" s="161"/>
      <c r="C32" s="161"/>
      <c r="D32" s="161"/>
      <c r="E32" s="161"/>
      <c r="F32" s="161"/>
      <c r="G32" s="161"/>
      <c r="H32" s="161"/>
      <c r="I32" s="161"/>
      <c r="J32" s="161"/>
    </row>
    <row r="33" customFormat="false" ht="15" hidden="false" customHeight="true" outlineLevel="0" collapsed="false">
      <c r="A33" s="162" t="s">
        <v>516</v>
      </c>
      <c r="B33" s="175" t="n">
        <f aca="false">B11</f>
        <v>1700136.98630137</v>
      </c>
      <c r="C33" s="175" t="n">
        <f aca="false">C11</f>
        <v>5612417.56246331</v>
      </c>
      <c r="D33" s="175" t="n">
        <f aca="false">D11</f>
        <v>24702745.29693</v>
      </c>
      <c r="E33" s="175" t="n">
        <f aca="false">E11</f>
        <v>65206874.3231776</v>
      </c>
      <c r="F33" s="175" t="n">
        <f aca="false">F11</f>
        <v>126058514.031152</v>
      </c>
      <c r="G33" s="175" t="n">
        <f aca="false">G11</f>
        <v>199391425.691377</v>
      </c>
      <c r="H33" s="175" t="n">
        <f aca="false">H11</f>
        <v>284143413.058011</v>
      </c>
      <c r="I33" s="175" t="n">
        <f aca="false">I11</f>
        <v>377497899.193921</v>
      </c>
      <c r="J33" s="175" t="n">
        <f aca="false">J11</f>
        <v>478916725.585775</v>
      </c>
    </row>
    <row r="34" customFormat="false" ht="15" hidden="false" customHeight="true" outlineLevel="0" collapsed="false">
      <c r="A34" s="162" t="s">
        <v>517</v>
      </c>
      <c r="B34" s="175" t="n">
        <f aca="false">'06 Cash-Flow'!B28</f>
        <v>1700136.98630137</v>
      </c>
      <c r="C34" s="175" t="n">
        <f aca="false">'06 Cash-Flow'!C28</f>
        <v>5612417.56246331</v>
      </c>
      <c r="D34" s="175" t="n">
        <f aca="false">'06 Cash-Flow'!D28</f>
        <v>24702745.29693</v>
      </c>
      <c r="E34" s="175" t="n">
        <f aca="false">'06 Cash-Flow'!E28</f>
        <v>65206874.3231776</v>
      </c>
      <c r="F34" s="175" t="n">
        <f aca="false">'06 Cash-Flow'!F28</f>
        <v>126058514.031152</v>
      </c>
      <c r="G34" s="175" t="n">
        <f aca="false">'06 Cash-Flow'!G28</f>
        <v>199391425.691377</v>
      </c>
      <c r="H34" s="175" t="n">
        <f aca="false">'06 Cash-Flow'!H28</f>
        <v>284143413.058011</v>
      </c>
      <c r="I34" s="175" t="n">
        <f aca="false">'06 Cash-Flow'!I28</f>
        <v>377497899.193921</v>
      </c>
      <c r="J34" s="175" t="n">
        <f aca="false">'06 Cash-Flow'!J28</f>
        <v>478916725.585776</v>
      </c>
    </row>
    <row r="35" customFormat="false" ht="15" hidden="false" customHeight="true" outlineLevel="0" collapsed="false">
      <c r="A35" s="162" t="s">
        <v>518</v>
      </c>
      <c r="B35" s="175" t="n">
        <f aca="false">B34-B33</f>
        <v>0</v>
      </c>
      <c r="C35" s="175" t="n">
        <f aca="false">C34-C33</f>
        <v>0</v>
      </c>
      <c r="D35" s="175" t="n">
        <f aca="false">D34-D33</f>
        <v>0</v>
      </c>
      <c r="E35" s="175" t="n">
        <f aca="false">E34-E33</f>
        <v>0</v>
      </c>
      <c r="F35" s="175" t="n">
        <f aca="false">F34-F33</f>
        <v>0</v>
      </c>
      <c r="G35" s="175" t="n">
        <f aca="false">G34-G33</f>
        <v>0</v>
      </c>
      <c r="H35" s="175" t="n">
        <f aca="false">H34-H33</f>
        <v>0</v>
      </c>
      <c r="I35" s="175" t="n">
        <f aca="false">I34-I33</f>
        <v>0</v>
      </c>
      <c r="J35" s="175" t="n">
        <f aca="false">J34-J33</f>
        <v>0</v>
      </c>
    </row>
    <row r="37" customFormat="false" ht="43.5" hidden="false" customHeight="true" outlineLevel="0" collapsed="false">
      <c r="A37" s="158" t="s">
        <v>519</v>
      </c>
      <c r="B37" s="158"/>
      <c r="C37" s="158"/>
      <c r="D37" s="158"/>
      <c r="E37" s="158"/>
      <c r="F37" s="158"/>
      <c r="G37" s="158"/>
      <c r="H37" s="158"/>
      <c r="I37" s="158"/>
      <c r="J37" s="158"/>
    </row>
    <row r="39" customFormat="false" ht="15" hidden="false" customHeight="true" outlineLevel="0" collapsed="false">
      <c r="A39" s="149" t="s">
        <v>520</v>
      </c>
      <c r="B39" s="149"/>
      <c r="C39" s="149"/>
      <c r="D39" s="149"/>
      <c r="E39" s="149"/>
      <c r="F39" s="149"/>
      <c r="G39" s="149"/>
      <c r="H39" s="149"/>
      <c r="I39" s="149"/>
      <c r="J39" s="149"/>
    </row>
    <row r="40" customFormat="false" ht="15" hidden="false" customHeight="true" outlineLevel="0" collapsed="false">
      <c r="A40" s="179" t="s">
        <v>521</v>
      </c>
      <c r="B40" s="180" t="s">
        <v>522</v>
      </c>
      <c r="C40" s="181"/>
      <c r="D40" s="182" t="s">
        <v>523</v>
      </c>
      <c r="E40" s="182"/>
      <c r="F40" s="182"/>
      <c r="G40" s="182"/>
      <c r="H40" s="182"/>
      <c r="I40" s="182"/>
      <c r="J40" s="182"/>
    </row>
    <row r="41" customFormat="false" ht="15" hidden="false" customHeight="true" outlineLevel="0" collapsed="false">
      <c r="A41" s="179" t="s">
        <v>524</v>
      </c>
      <c r="B41" s="180" t="s">
        <v>525</v>
      </c>
      <c r="C41" s="181"/>
      <c r="D41" s="182" t="s">
        <v>526</v>
      </c>
      <c r="E41" s="182"/>
      <c r="F41" s="182"/>
      <c r="G41" s="182"/>
      <c r="H41" s="182"/>
      <c r="I41" s="182"/>
      <c r="J41" s="182"/>
    </row>
    <row r="42" customFormat="false" ht="15" hidden="false" customHeight="true" outlineLevel="0" collapsed="false">
      <c r="A42" s="183" t="s">
        <v>527</v>
      </c>
      <c r="B42" s="180" t="s">
        <v>528</v>
      </c>
      <c r="C42" s="181"/>
      <c r="D42" s="182" t="s">
        <v>529</v>
      </c>
      <c r="E42" s="182"/>
      <c r="F42" s="182"/>
      <c r="G42" s="182"/>
      <c r="H42" s="182"/>
      <c r="I42" s="182"/>
      <c r="J42" s="182"/>
    </row>
    <row r="43" customFormat="false" ht="15" hidden="false" customHeight="true" outlineLevel="0" collapsed="false">
      <c r="A43" s="179" t="s">
        <v>530</v>
      </c>
      <c r="B43" s="180" t="s">
        <v>531</v>
      </c>
      <c r="C43" s="181"/>
      <c r="D43" s="182" t="s">
        <v>532</v>
      </c>
      <c r="E43" s="182"/>
      <c r="F43" s="182"/>
      <c r="G43" s="182"/>
      <c r="H43" s="182"/>
      <c r="I43" s="182"/>
      <c r="J43" s="182"/>
    </row>
    <row r="44" customFormat="false" ht="15" hidden="false" customHeight="true" outlineLevel="0" collapsed="false">
      <c r="A44" s="183" t="s">
        <v>533</v>
      </c>
      <c r="B44" s="180" t="s">
        <v>534</v>
      </c>
      <c r="C44" s="181"/>
      <c r="D44" s="182" t="s">
        <v>535</v>
      </c>
      <c r="E44" s="182"/>
      <c r="F44" s="182"/>
      <c r="G44" s="182"/>
      <c r="H44" s="182"/>
      <c r="I44" s="182"/>
      <c r="J44" s="182"/>
    </row>
    <row r="45" customFormat="false" ht="15" hidden="false" customHeight="true" outlineLevel="0" collapsed="false">
      <c r="A45" s="179" t="s">
        <v>536</v>
      </c>
      <c r="B45" s="180" t="s">
        <v>537</v>
      </c>
      <c r="C45" s="181"/>
      <c r="D45" s="182" t="s">
        <v>538</v>
      </c>
      <c r="E45" s="182"/>
      <c r="F45" s="182"/>
      <c r="G45" s="182"/>
      <c r="H45" s="182"/>
      <c r="I45" s="182"/>
      <c r="J45" s="182"/>
    </row>
  </sheetData>
  <mergeCells count="9">
    <mergeCell ref="A2:J2"/>
    <mergeCell ref="A37:J37"/>
    <mergeCell ref="A39:J39"/>
    <mergeCell ref="D40:J40"/>
    <mergeCell ref="D41:J41"/>
    <mergeCell ref="D42:J42"/>
    <mergeCell ref="D43:J43"/>
    <mergeCell ref="D44:J44"/>
    <mergeCell ref="D45:J45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7"/>
    <col collapsed="false" customWidth="true" hidden="false" outlineLevel="0" max="10" min="5" style="1" width="15"/>
  </cols>
  <sheetData>
    <row r="1" customFormat="false" ht="17.25" hidden="false" customHeight="true" outlineLevel="0" collapsed="false">
      <c r="A1" s="45" t="s">
        <v>539</v>
      </c>
      <c r="B1" s="46"/>
      <c r="C1" s="46"/>
      <c r="D1" s="46"/>
      <c r="E1" s="46"/>
      <c r="F1" s="46"/>
      <c r="G1" s="46"/>
      <c r="H1" s="46"/>
      <c r="I1" s="46"/>
      <c r="J1" s="46"/>
    </row>
    <row r="2" customFormat="false" ht="30" hidden="false" customHeight="true" outlineLevel="0" collapsed="false">
      <c r="A2" s="125" t="s">
        <v>540</v>
      </c>
      <c r="B2" s="125"/>
      <c r="C2" s="125"/>
      <c r="D2" s="125"/>
      <c r="E2" s="125"/>
      <c r="F2" s="125"/>
      <c r="G2" s="125"/>
      <c r="H2" s="125"/>
      <c r="I2" s="125"/>
      <c r="J2" s="125"/>
    </row>
    <row r="3" customFormat="false" ht="15" hidden="false" customHeight="true" outlineLevel="0" collapsed="false">
      <c r="A3" s="46"/>
      <c r="B3" s="46"/>
      <c r="C3" s="46"/>
      <c r="D3" s="46"/>
      <c r="E3" s="46"/>
      <c r="F3" s="46"/>
      <c r="G3" s="46"/>
      <c r="H3" s="46"/>
      <c r="I3" s="46"/>
      <c r="J3" s="46"/>
    </row>
    <row r="4" customFormat="false" ht="15" hidden="false" customHeight="true" outlineLevel="0" collapsed="false">
      <c r="A4" s="26" t="s">
        <v>541</v>
      </c>
      <c r="B4" s="26"/>
      <c r="C4" s="26"/>
      <c r="D4" s="26"/>
      <c r="E4" s="26"/>
      <c r="F4" s="26"/>
      <c r="G4" s="26"/>
      <c r="H4" s="26"/>
      <c r="I4" s="26"/>
      <c r="J4" s="26"/>
    </row>
    <row r="5" customFormat="false" ht="15" hidden="false" customHeight="true" outlineLevel="0" collapsed="false">
      <c r="A5" s="23" t="s">
        <v>542</v>
      </c>
      <c r="B5" s="184" t="n">
        <v>0.38</v>
      </c>
      <c r="C5" s="46"/>
      <c r="D5" s="46"/>
      <c r="E5" s="46"/>
      <c r="F5" s="46"/>
      <c r="G5" s="46"/>
      <c r="H5" s="46"/>
      <c r="I5" s="46"/>
      <c r="J5" s="46"/>
    </row>
    <row r="6" customFormat="false" ht="15" hidden="false" customHeight="true" outlineLevel="0" collapsed="false">
      <c r="A6" s="23" t="s">
        <v>543</v>
      </c>
      <c r="B6" s="185" t="n">
        <v>10</v>
      </c>
      <c r="C6" s="46"/>
      <c r="D6" s="46"/>
      <c r="E6" s="46"/>
      <c r="F6" s="46"/>
      <c r="G6" s="46"/>
      <c r="H6" s="46"/>
      <c r="I6" s="46"/>
      <c r="J6" s="46"/>
    </row>
    <row r="7" customFormat="false" ht="15" hidden="false" customHeight="true" outlineLevel="0" collapsed="false">
      <c r="A7" s="23" t="s">
        <v>544</v>
      </c>
      <c r="B7" s="185" t="n">
        <v>13</v>
      </c>
      <c r="C7" s="46"/>
      <c r="D7" s="46"/>
      <c r="E7" s="46"/>
      <c r="F7" s="46"/>
      <c r="G7" s="46"/>
      <c r="H7" s="46"/>
      <c r="I7" s="46"/>
      <c r="J7" s="46"/>
    </row>
    <row r="8" customFormat="false" ht="15" hidden="false" customHeight="true" outlineLevel="0" collapsed="false">
      <c r="A8" s="23" t="s">
        <v>545</v>
      </c>
      <c r="B8" s="184" t="n">
        <v>0.4</v>
      </c>
      <c r="C8" s="46"/>
      <c r="D8" s="46"/>
      <c r="E8" s="46"/>
      <c r="F8" s="46"/>
      <c r="G8" s="46"/>
      <c r="H8" s="46"/>
      <c r="I8" s="46"/>
      <c r="J8" s="46"/>
    </row>
    <row r="9" customFormat="false" ht="15" hidden="false" customHeight="true" outlineLevel="0" collapsed="false">
      <c r="A9" s="23" t="s">
        <v>546</v>
      </c>
      <c r="B9" s="185" t="n">
        <v>4</v>
      </c>
      <c r="C9" s="46"/>
      <c r="D9" s="46"/>
      <c r="E9" s="46"/>
      <c r="F9" s="46"/>
      <c r="G9" s="46"/>
      <c r="H9" s="46"/>
      <c r="I9" s="46"/>
      <c r="J9" s="46"/>
    </row>
    <row r="10" customFormat="false" ht="15" hidden="false" customHeight="true" outlineLevel="0" collapsed="false">
      <c r="A10" s="46"/>
      <c r="B10" s="46"/>
      <c r="C10" s="46"/>
      <c r="D10" s="46"/>
      <c r="E10" s="46"/>
      <c r="F10" s="46"/>
      <c r="G10" s="46"/>
      <c r="H10" s="46"/>
      <c r="I10" s="46"/>
      <c r="J10" s="46"/>
    </row>
    <row r="11" customFormat="false" ht="15" hidden="false" customHeight="true" outlineLevel="0" collapsed="false">
      <c r="A11" s="26" t="s">
        <v>547</v>
      </c>
      <c r="B11" s="26"/>
      <c r="C11" s="26"/>
      <c r="D11" s="26"/>
      <c r="E11" s="26"/>
      <c r="F11" s="26"/>
      <c r="G11" s="26"/>
      <c r="H11" s="26"/>
      <c r="I11" s="26"/>
      <c r="J11" s="26"/>
    </row>
    <row r="12" customFormat="false" ht="15" hidden="false" customHeight="true" outlineLevel="0" collapsed="false">
      <c r="A12" s="50" t="s">
        <v>329</v>
      </c>
      <c r="B12" s="139" t="s">
        <v>75</v>
      </c>
      <c r="C12" s="139" t="s">
        <v>76</v>
      </c>
      <c r="D12" s="139" t="s">
        <v>77</v>
      </c>
      <c r="E12" s="139" t="s">
        <v>78</v>
      </c>
      <c r="F12" s="139" t="s">
        <v>79</v>
      </c>
      <c r="G12" s="139" t="s">
        <v>80</v>
      </c>
      <c r="H12" s="139" t="s">
        <v>81</v>
      </c>
      <c r="I12" s="139" t="s">
        <v>82</v>
      </c>
      <c r="J12" s="139" t="s">
        <v>83</v>
      </c>
    </row>
    <row r="13" customFormat="false" ht="15" hidden="false" customHeight="true" outlineLevel="0" collapsed="false">
      <c r="A13" s="23" t="s">
        <v>548</v>
      </c>
      <c r="B13" s="115" t="n">
        <f aca="false">'06 Cash-Flow'!B12</f>
        <v>-1899863.01369863</v>
      </c>
      <c r="C13" s="115" t="n">
        <f aca="false">'06 Cash-Flow'!C12</f>
        <v>1162180.57616194</v>
      </c>
      <c r="D13" s="115" t="n">
        <f aca="false">'06 Cash-Flow'!D12</f>
        <v>8940327.73446673</v>
      </c>
      <c r="E13" s="115" t="n">
        <f aca="false">'06 Cash-Flow'!E12</f>
        <v>20204129.0262476</v>
      </c>
      <c r="F13" s="115" t="n">
        <f aca="false">'06 Cash-Flow'!F12</f>
        <v>31851639.7079746</v>
      </c>
      <c r="G13" s="115" t="n">
        <f aca="false">'06 Cash-Flow'!G12</f>
        <v>44332911.6602251</v>
      </c>
      <c r="H13" s="115" t="n">
        <f aca="false">'06 Cash-Flow'!H12</f>
        <v>55751987.366634</v>
      </c>
      <c r="I13" s="115" t="n">
        <f aca="false">'06 Cash-Flow'!I12</f>
        <v>64354486.13591</v>
      </c>
      <c r="J13" s="115" t="n">
        <f aca="false">'06 Cash-Flow'!J12</f>
        <v>72418826.3918542</v>
      </c>
    </row>
    <row r="14" customFormat="false" ht="1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</row>
    <row r="15" customFormat="false" ht="15.75" hidden="false" customHeight="true" outlineLevel="0" collapsed="false">
      <c r="A15" s="186" t="s">
        <v>549</v>
      </c>
      <c r="B15" s="187" t="n">
        <f aca="false">NPV(B5,'06 Cash-Flow'!B12:J12)+'05 P&amp;L'!J24*B6/(1+B5)^9</f>
        <v>78221006.9188364</v>
      </c>
      <c r="C15" s="188" t="s">
        <v>550</v>
      </c>
      <c r="D15" s="188"/>
      <c r="E15" s="188"/>
      <c r="F15" s="188"/>
      <c r="G15" s="188"/>
      <c r="H15" s="188"/>
      <c r="I15" s="188"/>
      <c r="J15" s="188"/>
    </row>
    <row r="16" customFormat="false" ht="15" hidden="false" customHeight="true" outlineLevel="0" collapsed="false">
      <c r="A16" s="46"/>
      <c r="B16" s="46"/>
      <c r="C16" s="46"/>
      <c r="D16" s="46"/>
      <c r="E16" s="46"/>
      <c r="F16" s="46"/>
      <c r="G16" s="46"/>
      <c r="H16" s="46"/>
      <c r="I16" s="46"/>
      <c r="J16" s="46"/>
    </row>
    <row r="17" customFormat="false" ht="15" hidden="false" customHeight="true" outlineLevel="0" collapsed="false">
      <c r="A17" s="26" t="s">
        <v>551</v>
      </c>
      <c r="B17" s="26"/>
      <c r="C17" s="26"/>
      <c r="D17" s="26"/>
      <c r="E17" s="26"/>
      <c r="F17" s="26"/>
      <c r="G17" s="26"/>
      <c r="H17" s="26"/>
      <c r="I17" s="26"/>
      <c r="J17" s="26"/>
    </row>
    <row r="18" customFormat="false" ht="15" hidden="false" customHeight="true" outlineLevel="0" collapsed="false">
      <c r="A18" s="50" t="s">
        <v>552</v>
      </c>
      <c r="B18" s="189" t="n">
        <v>8</v>
      </c>
      <c r="C18" s="189" t="n">
        <v>10</v>
      </c>
      <c r="D18" s="189" t="n">
        <v>12</v>
      </c>
      <c r="E18" s="46"/>
      <c r="F18" s="46"/>
      <c r="G18" s="46"/>
      <c r="H18" s="46"/>
      <c r="I18" s="46"/>
      <c r="J18" s="46"/>
    </row>
    <row r="19" customFormat="false" ht="15" hidden="false" customHeight="true" outlineLevel="0" collapsed="false">
      <c r="A19" s="190" t="n">
        <v>0.3</v>
      </c>
      <c r="B19" s="112" t="n">
        <f aca="false">NPV($A19,'06 Cash-Flow'!$B$12:$J$12)+'05 P&amp;L'!$J$24*B$18/(1+$A19)^9</f>
        <v>109933346.798422</v>
      </c>
      <c r="C19" s="112" t="n">
        <f aca="false">NPV($A19,'06 Cash-Flow'!$B$12:$J$12)+'05 P&amp;L'!$J$24*C$18/(1+$A19)^9</f>
        <v>124482647.470736</v>
      </c>
      <c r="D19" s="112" t="n">
        <f aca="false">NPV($A19,'06 Cash-Flow'!$B$12:$J$12)+'05 P&amp;L'!$J$24*D$18/(1+$A19)^9</f>
        <v>139031948.14305</v>
      </c>
      <c r="E19" s="46"/>
      <c r="F19" s="46"/>
      <c r="G19" s="46"/>
      <c r="H19" s="46"/>
      <c r="I19" s="46"/>
      <c r="J19" s="46"/>
    </row>
    <row r="20" customFormat="false" ht="15" hidden="false" customHeight="true" outlineLevel="0" collapsed="false">
      <c r="A20" s="190" t="n">
        <v>0.35</v>
      </c>
      <c r="B20" s="112" t="n">
        <f aca="false">NPV($A20,'06 Cash-Flow'!$B$12:$J$12)+'05 P&amp;L'!$J$24*B$18/(1+$A20)^9</f>
        <v>82328642.8335439</v>
      </c>
      <c r="C20" s="112" t="n">
        <f aca="false">NPV($A20,'06 Cash-Flow'!$B$12:$J$12)+'05 P&amp;L'!$J$24*C$18/(1+$A20)^9</f>
        <v>92687894.2472699</v>
      </c>
      <c r="D20" s="112" t="n">
        <f aca="false">NPV($A20,'06 Cash-Flow'!$B$12:$J$12)+'05 P&amp;L'!$J$24*D$18/(1+$A20)^9</f>
        <v>103047145.660996</v>
      </c>
      <c r="E20" s="46"/>
      <c r="F20" s="46"/>
      <c r="G20" s="46"/>
      <c r="H20" s="46"/>
      <c r="I20" s="46"/>
      <c r="J20" s="46"/>
    </row>
    <row r="21" customFormat="false" ht="15" hidden="false" customHeight="true" outlineLevel="0" collapsed="false">
      <c r="A21" s="190" t="n">
        <v>0.4</v>
      </c>
      <c r="B21" s="112" t="n">
        <f aca="false">NPV($A21,'06 Cash-Flow'!$B$12:$J$12)+'05 P&amp;L'!$J$24*B$18/(1+$A21)^9</f>
        <v>62588509.698229</v>
      </c>
      <c r="C21" s="112" t="n">
        <f aca="false">NPV($A21,'06 Cash-Flow'!$B$12:$J$12)+'05 P&amp;L'!$J$24*C$18/(1+$A21)^9</f>
        <v>70056091.1557486</v>
      </c>
      <c r="D21" s="112" t="n">
        <f aca="false">NPV($A21,'06 Cash-Flow'!$B$12:$J$12)+'05 P&amp;L'!$J$24*D$18/(1+$A21)^9</f>
        <v>77523672.6132682</v>
      </c>
      <c r="E21" s="46"/>
      <c r="F21" s="46"/>
      <c r="G21" s="46"/>
      <c r="H21" s="46"/>
      <c r="I21" s="46"/>
      <c r="J21" s="46"/>
    </row>
    <row r="22" customFormat="false" ht="15" hidden="false" customHeight="true" outlineLevel="0" collapsed="false">
      <c r="A22" s="125" t="s">
        <v>553</v>
      </c>
      <c r="B22" s="125"/>
      <c r="C22" s="125"/>
      <c r="D22" s="125"/>
      <c r="E22" s="125"/>
      <c r="F22" s="125"/>
      <c r="G22" s="125"/>
      <c r="H22" s="125"/>
      <c r="I22" s="125"/>
      <c r="J22" s="125"/>
    </row>
    <row r="23" customFormat="false" ht="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</row>
    <row r="24" customFormat="false" ht="15" hidden="false" customHeight="true" outlineLevel="0" collapsed="false">
      <c r="A24" s="26" t="s">
        <v>554</v>
      </c>
      <c r="B24" s="26"/>
      <c r="C24" s="26"/>
      <c r="D24" s="26"/>
      <c r="E24" s="26"/>
      <c r="F24" s="26"/>
      <c r="G24" s="26"/>
      <c r="H24" s="26"/>
      <c r="I24" s="26"/>
      <c r="J24" s="26"/>
    </row>
    <row r="25" customFormat="false" ht="15" hidden="false" customHeight="true" outlineLevel="0" collapsed="false">
      <c r="A25" s="23" t="s">
        <v>555</v>
      </c>
      <c r="B25" s="116" t="n">
        <f aca="false">B15</f>
        <v>78221006.9188364</v>
      </c>
      <c r="C25" s="46"/>
      <c r="D25" s="46"/>
      <c r="E25" s="46"/>
      <c r="F25" s="46"/>
      <c r="G25" s="46"/>
      <c r="H25" s="46"/>
      <c r="I25" s="46"/>
      <c r="J25" s="46"/>
    </row>
    <row r="26" customFormat="false" ht="15" hidden="false" customHeight="true" outlineLevel="0" collapsed="false">
      <c r="A26" s="23" t="s">
        <v>556</v>
      </c>
      <c r="B26" s="116" t="n">
        <f aca="false">NPV(B8,'06 Cash-Flow'!B25:J25)+'06 Cash-Flow'!J25*B9/(1+B8)^9</f>
        <v>31440584.0783948</v>
      </c>
      <c r="C26" s="46"/>
      <c r="D26" s="46"/>
      <c r="E26" s="46"/>
      <c r="F26" s="46"/>
      <c r="G26" s="46"/>
      <c r="H26" s="46"/>
      <c r="I26" s="46"/>
      <c r="J26" s="46"/>
    </row>
    <row r="27" customFormat="false" ht="15" hidden="false" customHeight="true" outlineLevel="0" collapsed="false">
      <c r="A27" s="106" t="s">
        <v>557</v>
      </c>
      <c r="B27" s="191" t="n">
        <f aca="false">B25+B26</f>
        <v>109661590.997231</v>
      </c>
      <c r="C27" s="46"/>
      <c r="D27" s="46"/>
      <c r="E27" s="46"/>
      <c r="F27" s="46"/>
      <c r="G27" s="46"/>
      <c r="H27" s="46"/>
      <c r="I27" s="46"/>
      <c r="J27" s="46"/>
    </row>
    <row r="28" customFormat="false" ht="25.5" hidden="false" customHeight="true" outlineLevel="0" collapsed="false">
      <c r="A28" s="125" t="s">
        <v>558</v>
      </c>
      <c r="B28" s="125"/>
      <c r="C28" s="125"/>
      <c r="D28" s="125"/>
      <c r="E28" s="125"/>
      <c r="F28" s="125"/>
      <c r="G28" s="125"/>
      <c r="H28" s="125"/>
      <c r="I28" s="125"/>
      <c r="J28" s="125"/>
    </row>
    <row r="29" customFormat="false" ht="15" hidden="false" customHeight="true" outlineLevel="0" collapsed="false">
      <c r="A29" s="46"/>
      <c r="B29" s="46"/>
      <c r="C29" s="46"/>
      <c r="D29" s="46"/>
      <c r="E29" s="46"/>
      <c r="F29" s="46"/>
      <c r="G29" s="46"/>
      <c r="H29" s="46"/>
      <c r="I29" s="46"/>
      <c r="J29" s="46"/>
    </row>
    <row r="30" customFormat="false" ht="15" hidden="false" customHeight="true" outlineLevel="0" collapsed="false">
      <c r="A30" s="26" t="s">
        <v>559</v>
      </c>
      <c r="B30" s="26"/>
      <c r="C30" s="26"/>
      <c r="D30" s="26"/>
      <c r="E30" s="26"/>
      <c r="F30" s="26"/>
      <c r="G30" s="26"/>
      <c r="H30" s="26"/>
      <c r="I30" s="26"/>
      <c r="J30" s="26"/>
    </row>
    <row r="31" customFormat="false" ht="15" hidden="false" customHeight="true" outlineLevel="0" collapsed="false">
      <c r="A31" s="23" t="s">
        <v>560</v>
      </c>
      <c r="B31" s="112" t="n">
        <f aca="false">'05 P&amp;L'!J24</f>
        <v>77144024.9285714</v>
      </c>
      <c r="C31" s="46"/>
      <c r="D31" s="46"/>
      <c r="E31" s="46"/>
      <c r="F31" s="46"/>
      <c r="G31" s="46"/>
      <c r="H31" s="46"/>
      <c r="I31" s="46"/>
      <c r="J31" s="46"/>
    </row>
    <row r="32" customFormat="false" ht="15" hidden="false" customHeight="true" outlineLevel="0" collapsed="false">
      <c r="A32" s="23" t="s">
        <v>561</v>
      </c>
      <c r="B32" s="192" t="n">
        <f aca="false">B7</f>
        <v>13</v>
      </c>
      <c r="C32" s="46"/>
      <c r="D32" s="46"/>
      <c r="E32" s="46"/>
      <c r="F32" s="46"/>
      <c r="G32" s="46"/>
      <c r="H32" s="46"/>
      <c r="I32" s="46"/>
      <c r="J32" s="46"/>
    </row>
    <row r="33" customFormat="false" ht="15" hidden="false" customHeight="true" outlineLevel="0" collapsed="false">
      <c r="A33" s="106" t="s">
        <v>562</v>
      </c>
      <c r="B33" s="191" t="n">
        <f aca="false">'05 P&amp;L'!J24*B7</f>
        <v>1002872324.07143</v>
      </c>
      <c r="C33" s="46"/>
      <c r="D33" s="46"/>
      <c r="E33" s="46"/>
      <c r="F33" s="46"/>
      <c r="G33" s="46"/>
      <c r="H33" s="46"/>
      <c r="I33" s="46"/>
      <c r="J33" s="46"/>
    </row>
    <row r="34" customFormat="false" ht="15" hidden="false" customHeight="true" outlineLevel="0" collapsed="false">
      <c r="A34" s="23" t="s">
        <v>563</v>
      </c>
      <c r="B34" s="112" t="n">
        <f aca="false">'05 P&amp;L'!J24*B7/(1+B5)^9</f>
        <v>55250201.8227095</v>
      </c>
      <c r="C34" s="46"/>
      <c r="D34" s="46"/>
      <c r="E34" s="46"/>
      <c r="F34" s="46"/>
      <c r="G34" s="46"/>
      <c r="H34" s="46"/>
      <c r="I34" s="46"/>
      <c r="J34" s="46"/>
    </row>
    <row r="35" customFormat="false" ht="15" hidden="false" customHeight="true" outlineLevel="0" collapsed="false">
      <c r="A35" s="46"/>
      <c r="B35" s="46"/>
      <c r="C35" s="46"/>
      <c r="D35" s="46"/>
      <c r="E35" s="46"/>
      <c r="F35" s="46"/>
      <c r="G35" s="46"/>
      <c r="H35" s="46"/>
      <c r="I35" s="46"/>
      <c r="J35" s="46"/>
    </row>
    <row r="36" customFormat="false" ht="45.75" hidden="false" customHeight="true" outlineLevel="0" collapsed="false">
      <c r="A36" s="125" t="s">
        <v>564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8" customFormat="false" ht="15" hidden="false" customHeight="true" outlineLevel="0" collapsed="false">
      <c r="A38" s="26" t="s">
        <v>565</v>
      </c>
      <c r="B38" s="26"/>
      <c r="C38" s="26"/>
      <c r="D38" s="26"/>
      <c r="E38" s="26"/>
      <c r="F38" s="26"/>
      <c r="G38" s="26"/>
      <c r="H38" s="26"/>
      <c r="I38" s="26"/>
      <c r="J38" s="26"/>
    </row>
    <row r="39" customFormat="false" ht="29.25" hidden="false" customHeight="true" outlineLevel="0" collapsed="false">
      <c r="A39" s="193" t="s">
        <v>566</v>
      </c>
      <c r="B39" s="194" t="n">
        <v>4500000</v>
      </c>
      <c r="C39" s="195" t="s">
        <v>567</v>
      </c>
      <c r="D39" s="195"/>
      <c r="E39" s="195"/>
      <c r="F39" s="195"/>
      <c r="G39" s="195"/>
      <c r="H39" s="195"/>
      <c r="I39" s="195"/>
      <c r="J39" s="195"/>
    </row>
    <row r="40" customFormat="false" ht="15" hidden="false" customHeight="true" outlineLevel="0" collapsed="false">
      <c r="A40" s="196" t="s">
        <v>568</v>
      </c>
      <c r="B40" s="197"/>
      <c r="C40" s="198" t="s">
        <v>569</v>
      </c>
      <c r="D40" s="198"/>
      <c r="E40" s="198"/>
      <c r="F40" s="198"/>
      <c r="G40" s="198"/>
      <c r="H40" s="198"/>
      <c r="I40" s="198"/>
      <c r="J40" s="198"/>
    </row>
    <row r="41" customFormat="false" ht="15" hidden="false" customHeight="true" outlineLevel="0" collapsed="false">
      <c r="A41" s="54" t="s">
        <v>570</v>
      </c>
      <c r="B41" s="116" t="n">
        <f aca="false">B33/30</f>
        <v>33429077.4690476</v>
      </c>
      <c r="C41" s="198" t="s">
        <v>571</v>
      </c>
      <c r="D41" s="198"/>
      <c r="E41" s="198"/>
      <c r="F41" s="198"/>
      <c r="G41" s="198"/>
      <c r="H41" s="198"/>
      <c r="I41" s="198"/>
      <c r="J41" s="198"/>
    </row>
    <row r="42" customFormat="false" ht="15" hidden="false" customHeight="true" outlineLevel="0" collapsed="false">
      <c r="A42" s="54" t="s">
        <v>572</v>
      </c>
      <c r="B42" s="116" t="n">
        <f aca="false">B33/50</f>
        <v>20057446.4814286</v>
      </c>
      <c r="C42" s="198" t="s">
        <v>573</v>
      </c>
      <c r="D42" s="198"/>
      <c r="E42" s="198"/>
      <c r="F42" s="198"/>
      <c r="G42" s="198"/>
      <c r="H42" s="198"/>
      <c r="I42" s="198"/>
      <c r="J42" s="198"/>
    </row>
    <row r="43" customFormat="false" ht="15" hidden="false" customHeight="true" outlineLevel="0" collapsed="false">
      <c r="A43" s="54" t="s">
        <v>574</v>
      </c>
      <c r="B43" s="116" t="n">
        <f aca="false">B33/100</f>
        <v>10028723.2407143</v>
      </c>
      <c r="C43" s="198" t="s">
        <v>575</v>
      </c>
      <c r="D43" s="198"/>
      <c r="E43" s="198"/>
      <c r="F43" s="198"/>
      <c r="G43" s="198"/>
      <c r="H43" s="198"/>
      <c r="I43" s="198"/>
      <c r="J43" s="198"/>
    </row>
    <row r="44" customFormat="false" ht="24.75" hidden="false" customHeight="true" outlineLevel="0" collapsed="false">
      <c r="A44" s="199" t="s">
        <v>576</v>
      </c>
      <c r="B44" s="116" t="n">
        <f aca="false">B15</f>
        <v>78221006.9188364</v>
      </c>
      <c r="C44" s="195" t="s">
        <v>577</v>
      </c>
      <c r="D44" s="195"/>
      <c r="E44" s="195"/>
      <c r="F44" s="195"/>
      <c r="G44" s="195"/>
      <c r="H44" s="195"/>
      <c r="I44" s="195"/>
      <c r="J44" s="195"/>
    </row>
    <row r="45" customFormat="false" ht="15" hidden="false" customHeight="true" outlineLevel="0" collapsed="false">
      <c r="A45" s="199" t="s">
        <v>578</v>
      </c>
      <c r="B45" s="116" t="n">
        <f aca="false">B33</f>
        <v>1002872324.07143</v>
      </c>
      <c r="C45" s="195" t="s">
        <v>579</v>
      </c>
      <c r="D45" s="195"/>
      <c r="E45" s="195"/>
      <c r="F45" s="195"/>
      <c r="G45" s="195"/>
      <c r="H45" s="195"/>
      <c r="I45" s="195"/>
      <c r="J45" s="195"/>
    </row>
    <row r="47" customFormat="false" ht="42" hidden="false" customHeight="true" outlineLevel="0" collapsed="false">
      <c r="A47" s="200" t="s">
        <v>580</v>
      </c>
      <c r="B47" s="200"/>
      <c r="C47" s="200"/>
      <c r="D47" s="200"/>
      <c r="E47" s="200"/>
      <c r="F47" s="200"/>
      <c r="G47" s="200"/>
      <c r="H47" s="200"/>
      <c r="I47" s="200"/>
      <c r="J47" s="200"/>
    </row>
  </sheetData>
  <mergeCells count="19">
    <mergeCell ref="A2:J2"/>
    <mergeCell ref="A4:J4"/>
    <mergeCell ref="A11:J11"/>
    <mergeCell ref="C15:J15"/>
    <mergeCell ref="A17:J17"/>
    <mergeCell ref="A22:J22"/>
    <mergeCell ref="A24:J24"/>
    <mergeCell ref="A28:J28"/>
    <mergeCell ref="A30:J30"/>
    <mergeCell ref="A36:J36"/>
    <mergeCell ref="A38:J38"/>
    <mergeCell ref="C39:J39"/>
    <mergeCell ref="C40:J40"/>
    <mergeCell ref="C41:J41"/>
    <mergeCell ref="C42:J42"/>
    <mergeCell ref="C43:J43"/>
    <mergeCell ref="C44:J44"/>
    <mergeCell ref="C45:J45"/>
    <mergeCell ref="A47:J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LibreOffice/26.2.3.2$MacOSX_AARCH64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2026-06-17T21:35:41Z</dcterms:created>
  <dc:creator>openpyxl</dc:creator>
  <dc:description/>
  <dc:language>en-US</dc:language>
  <cp:lastModifiedBy/>
  <dcterms:modified xsi:type="dcterms:W3CDTF">2026-06-19T21:45:21Z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