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rivers" sheetId="2" state="visible" r:id="rId4"/>
    <sheet name="Revenue" sheetId="3" state="visible" r:id="rId5"/>
    <sheet name="Costs" sheetId="4" state="visible" r:id="rId6"/>
    <sheet name="P&amp;L" sheetId="5" state="visible" r:id="rId7"/>
    <sheet name="Scenarios" sheetId="6" state="visible" r:id="rId8"/>
    <sheet name="Valuation" sheetId="7" state="visible" r:id="rId9"/>
    <sheet name="Unit_Economics" sheetId="8" state="visible" r:id="rId10"/>
    <sheet name="Funding_CapTable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<sst xmlns="http://schemas.openxmlformats.org/spreadsheetml/2006/main" count="210" uniqueCount="150">
  <si>
    <t xml:space="preserve">CeibaQ — Financial Model DASHBOARD (5 streams)</t>
  </si>
  <si>
    <t xml:space="preserve">Base: 1.5M own / 10M serviced Y5. Credits 60/40 (land self-funded). Bio counted. S5 royalty added. 3 scenarios. No LOIs yet (DD caveat).</t>
  </si>
  <si>
    <t xml:space="preserve">Metric (base)</t>
  </si>
  <si>
    <t xml:space="preserve">Y1 pre-seed 2027</t>
  </si>
  <si>
    <t xml:space="preserve">Y2 2028</t>
  </si>
  <si>
    <t xml:space="preserve">Y3 seed+SMEAR 2029</t>
  </si>
  <si>
    <t xml:space="preserve">Y4 2030</t>
  </si>
  <si>
    <t xml:space="preserve">Y5 2031</t>
  </si>
  <si>
    <t xml:space="preserve">OWN ha (M)</t>
  </si>
  <si>
    <t xml:space="preserve">SERVICED ha (M)</t>
  </si>
  <si>
    <t xml:space="preserve">Revenue</t>
  </si>
  <si>
    <t xml:space="preserve">EBITDA</t>
  </si>
  <si>
    <t xml:space="preserve">Valuation — base (8x)</t>
  </si>
  <si>
    <t xml:space="preserve">Valuation — stretch (8x)</t>
  </si>
  <si>
    <t xml:space="preserve">CeibaQ — Quantified nature, turned to capital.</t>
  </si>
  <si>
    <t xml:space="preserve">by AWAKEN</t>
  </si>
  <si>
    <t xml:space="preserve">CeibaQ — Integrated Financial Model (5 streams) · DRIVERS</t>
  </si>
  <si>
    <t xml:space="preserve">Teal=editable input. $ in millions. Targets: 1.5M own / 10M serviced (base). Credits: 60% communities+concession-holding / 40% CeibaQ, then minus own node/drone cost. Land self-funded from credits (no separate land CAPEX). Bio-credits counted. Built WITHOUT signed LOIs (DD caveat).</t>
  </si>
  <si>
    <t xml:space="preserve">Driver (BASE)</t>
  </si>
  <si>
    <t xml:space="preserve">OWN ha (concessions) — M ha</t>
  </si>
  <si>
    <t xml:space="preserve">SERVICED ha (MaaS) — M ha</t>
  </si>
  <si>
    <t xml:space="preserve">— S1 Own credits (carbon+bio) —</t>
  </si>
  <si>
    <t xml:space="preserve">Credit-active own ha (VM0048 lag) — M ha</t>
  </si>
  <si>
    <t xml:space="preserve">Carbon gross — $/own-ha/yr (blended protected+high-risk)</t>
  </si>
  <si>
    <t xml:space="preserve">Biodiversity gross — $/own-ha/yr</t>
  </si>
  <si>
    <t xml:space="preserve">Verra buffer pool retained — %</t>
  </si>
  <si>
    <t xml:space="preserve">CeibaQ keep — % (60% to communities+holding)</t>
  </si>
  <si>
    <t xml:space="preserve">Own node/drone/eDNA cost — $/own-ha/yr</t>
  </si>
  <si>
    <t xml:space="preserve">— S2 Monitoring-as-a-Service —</t>
  </si>
  <si>
    <t xml:space="preserve">MaaS subscription — $/serviced-ha/yr</t>
  </si>
  <si>
    <t xml:space="preserve">MaaS delivery cost — $/serviced-ha/yr (CURVE)</t>
  </si>
  <si>
    <t xml:space="preserve">Credit-share on serviced — %</t>
  </si>
  <si>
    <t xml:space="preserve">Developer credit value on serviced — $/ha</t>
  </si>
  <si>
    <t xml:space="preserve">— S3 / S4 / S5 —</t>
  </si>
  <si>
    <t xml:space="preserve">S3 Jurisdictional — $M (anchor pilots)</t>
  </si>
  <si>
    <t xml:space="preserve">S4 Data-only — # enterprise seats</t>
  </si>
  <si>
    <t xml:space="preserve">S4 price — $M/seat/yr</t>
  </si>
  <si>
    <t xml:space="preserve">S5 Royalty on verified credits — %</t>
  </si>
  <si>
    <t xml:space="preserve">— Company costs —</t>
  </si>
  <si>
    <t xml:space="preserve">ROOT OPEX — $M (SMEAR from seed)</t>
  </si>
  <si>
    <t xml:space="preserve">Overhead (G&amp;A/R&amp;D/S&amp;M/team) — $M</t>
  </si>
  <si>
    <t xml:space="preserve">CAPEX (ROOT no-SMEAR→SMEAR→growth) — $M</t>
  </si>
  <si>
    <t xml:space="preserve">— Valuation —</t>
  </si>
  <si>
    <t xml:space="preserve">Revenue multiple — x (panel re-rate 3-5x; pure data-layer 6-12x)</t>
  </si>
  <si>
    <t xml:space="preserve">EBITDA multiple — x</t>
  </si>
  <si>
    <t xml:space="preserve">Capital raised (pre-seed+seed) — $M</t>
  </si>
  <si>
    <t xml:space="preserve">Investor stake — %</t>
  </si>
  <si>
    <t xml:space="preserve">Credit mechanic: gross credit (carbon+bio) x (1-buffer) = issued value; 60% to communities+concession holding (covers land), 40% to CeibaQ, minus own node/drone cost. Land NOT a separate CAPEX line.</t>
  </si>
  <si>
    <t xml:space="preserve">REVENUE (base, $)</t>
  </si>
  <si>
    <t xml:space="preserve">Stream</t>
  </si>
  <si>
    <t xml:space="preserve">S1 Own credits — issued value (carbon+bio, after buffer)</t>
  </si>
  <si>
    <t xml:space="preserve">S2 MaaS subscription</t>
  </si>
  <si>
    <t xml:space="preserve">S2 credit-share (% of developer credits)</t>
  </si>
  <si>
    <t xml:space="preserve">S3 Jurisdictional</t>
  </si>
  <si>
    <t xml:space="preserve">S4 Data-only (enterprise licenses)</t>
  </si>
  <si>
    <t xml:space="preserve">S5 Royalty (% of own issued + developer credits)</t>
  </si>
  <si>
    <t xml:space="preserve">TOTAL REVENUE</t>
  </si>
  <si>
    <t xml:space="preserve">COSTS (base, $)</t>
  </si>
  <si>
    <t xml:space="preserve">Cost line</t>
  </si>
  <si>
    <t xml:space="preserve">Communities + concession holding (60% of S1 credits)</t>
  </si>
  <si>
    <t xml:space="preserve">Own node/drone/eDNA cost (own land)</t>
  </si>
  <si>
    <t xml:space="preserve">S2 MaaS delivery cost (serviced x CTS curve)</t>
  </si>
  <si>
    <t xml:space="preserve">ROOT OPEX</t>
  </si>
  <si>
    <t xml:space="preserve">Company overhead</t>
  </si>
  <si>
    <t xml:space="preserve">TOTAL OPERATING COST</t>
  </si>
  <si>
    <t xml:space="preserve">CAPEX</t>
  </si>
  <si>
    <t xml:space="preserve">P&amp;L + CASH (base, $)</t>
  </si>
  <si>
    <t xml:space="preserve">Line</t>
  </si>
  <si>
    <t xml:space="preserve">Operating cost</t>
  </si>
  <si>
    <t xml:space="preserve">EBITDA margin</t>
  </si>
  <si>
    <t xml:space="preserve">Net cash flow</t>
  </si>
  <si>
    <t xml:space="preserve">Cumulative cash (peak=funding need)</t>
  </si>
  <si>
    <t xml:space="preserve">SCENARIOS — Revenue &amp; EBITDA ($)</t>
  </si>
  <si>
    <t xml:space="preserve">Scenario</t>
  </si>
  <si>
    <t xml:space="preserve">Revenue — BASE (1.5M own / 10M serv, linked)</t>
  </si>
  <si>
    <t xml:space="preserve">Revenue — DOWNSIDE (0.5M / 3M)</t>
  </si>
  <si>
    <t xml:space="preserve">Revenue — STRETCH (5M own / 50M serv, Olha vision)</t>
  </si>
  <si>
    <t xml:space="preserve">EBITDA — BASE (linked)</t>
  </si>
  <si>
    <t xml:space="preserve">EBITDA — DOWNSIDE</t>
  </si>
  <si>
    <t xml:space="preserve">EBITDA — STRETCH</t>
  </si>
  <si>
    <t xml:space="preserve">BASE = formula-driven from Drivers. STRETCH = Olha's 5M/50M vision (gated on land tenure + non-Peru jurisdictions). DOWNSIDE = slow seed/VM0048 lag.</t>
  </si>
  <si>
    <t xml:space="preserve">VALUATION &amp; INVESTOR RETURN ($)</t>
  </si>
  <si>
    <t xml:space="preserve">Revenue x 4x (panel re-rate; pure data-layer could earn 6-12x). Naive flat-raise return below shows WHY staging matters — see Funding_CapTable for the recommended structure.</t>
  </si>
  <si>
    <t xml:space="preserve">Valuation</t>
  </si>
  <si>
    <t xml:space="preserve">Value — BASE (rev x 4x)</t>
  </si>
  <si>
    <t xml:space="preserve">Value — STRETCH (rev x 4x)</t>
  </si>
  <si>
    <t xml:space="preserve">Value — BASE (EBITDA x 18x, if +)</t>
  </si>
  <si>
    <t xml:space="preserve">[NAIVE flat raise] Y5 stake value — BASE</t>
  </si>
  <si>
    <t xml:space="preserve">[NAIVE flat raise] Return — BASE (x $35M@30%)</t>
  </si>
  <si>
    <t xml:space="preserve">↑ Naive flat $35M@30% gives only ~2.3x at base (panel's complaint). Staged structure (Funding_CapTable) gives seed ~12x at the SAME exit.</t>
  </si>
  <si>
    <t xml:space="preserve">UNIT ECONOMICS per stream</t>
  </si>
  <si>
    <t xml:space="preserve">Unit</t>
  </si>
  <si>
    <t xml:space="preserve">Price</t>
  </si>
  <si>
    <t xml:space="preserve">Cost</t>
  </si>
  <si>
    <t xml:space="preserve">Margin</t>
  </si>
  <si>
    <t xml:space="preserve">S1 Own credits</t>
  </si>
  <si>
    <t xml:space="preserve">$/own-ha (carbon+bio)</t>
  </si>
  <si>
    <t xml:space="preserve">carbon $12.75 + bio $3 gross/ha; 40% kept</t>
  </si>
  <si>
    <t xml:space="preserve">node/drone $3-8/ha + 60% to communities</t>
  </si>
  <si>
    <t xml:space="preserve">net ~$3-4/ha</t>
  </si>
  <si>
    <t xml:space="preserve">S2 MaaS</t>
  </si>
  <si>
    <t xml:space="preserve">$/serviced-ha/yr + % credits</t>
  </si>
  <si>
    <t xml:space="preserve">$3.5/ha + 5% of developer credits</t>
  </si>
  <si>
    <t xml:space="preserve">CTS curve $9→$2/ha</t>
  </si>
  <si>
    <t xml:space="preserve">$1.5/ha + share</t>
  </si>
  <si>
    <t xml:space="preserve">$/ha tiers + platform</t>
  </si>
  <si>
    <t xml:space="preserve">$0.10/$0.30/$0.75 per-ha</t>
  </si>
  <si>
    <t xml:space="preserve">sampled drone $0.08-0.15/ha</t>
  </si>
  <si>
    <t xml:space="preserve">high (donor-funded)</t>
  </si>
  <si>
    <t xml:space="preserve">S4 Data-only</t>
  </si>
  <si>
    <t xml:space="preserve">$/enterprise seat/yr</t>
  </si>
  <si>
    <t xml:space="preserve">$30-250k/seat (insurers)</t>
  </si>
  <si>
    <t xml:space="preserve">~$0 marginal</t>
  </si>
  <si>
    <t xml:space="preserve">80-90%</t>
  </si>
  <si>
    <t xml:space="preserve">S5 Royalty</t>
  </si>
  <si>
    <t xml:space="preserve">% of verified credits</t>
  </si>
  <si>
    <t xml:space="preserve">~2% of issuance</t>
  </si>
  <si>
    <t xml:space="preserve">~100%</t>
  </si>
  <si>
    <t xml:space="preserve">STAGED FUNDING &amp; CAP TABLE ($)</t>
  </si>
  <si>
    <t xml:space="preserve">Unbundled raise: PRE-SEED SAFE -&gt; small priced Seed -&gt; non-dilutive ROOT grant -&gt; concessional debt -&gt; milestone-gated Series A. Teal=input. Earliest money (pre-seed) earns the highest return.</t>
  </si>
  <si>
    <t xml:space="preserve">Round</t>
  </si>
  <si>
    <t xml:space="preserve">Instrument</t>
  </si>
  <si>
    <t xml:space="preserve">Amount $M</t>
  </si>
  <si>
    <t xml:space="preserve">Pre-money/Cap $M</t>
  </si>
  <si>
    <t xml:space="preserve">Post-money $M</t>
  </si>
  <si>
    <t xml:space="preserve">New stake %</t>
  </si>
  <si>
    <t xml:space="preserve">Pre-seed (SAFE)</t>
  </si>
  <si>
    <t xml:space="preserve">SAFE</t>
  </si>
  <si>
    <t xml:space="preserve">—</t>
  </si>
  <si>
    <t xml:space="preserve">Seed (priced equity)</t>
  </si>
  <si>
    <t xml:space="preserve">Equity</t>
  </si>
  <si>
    <t xml:space="preserve">ROOT grant (non-dilutive)</t>
  </si>
  <si>
    <t xml:space="preserve">Grant</t>
  </si>
  <si>
    <t xml:space="preserve">Concessional debt</t>
  </si>
  <si>
    <t xml:space="preserve">Debt</t>
  </si>
  <si>
    <t xml:space="preserve">Series A (milestone-gated)</t>
  </si>
  <si>
    <t xml:space="preserve">Total capital deployed</t>
  </si>
  <si>
    <t xml:space="preserve">  of which DILUTIVE equity (pre-seed+seed+A)</t>
  </si>
  <si>
    <t xml:space="preserve">OWNERSHIP (after all rounds) &amp; EXIT RETURN</t>
  </si>
  <si>
    <t xml:space="preserve">Holder</t>
  </si>
  <si>
    <t xml:space="preserve">Final %</t>
  </si>
  <si>
    <t xml:space="preserve">Invested $M</t>
  </si>
  <si>
    <t xml:space="preserve">Exit value BASE</t>
  </si>
  <si>
    <t xml:space="preserve">Exit value STRETCH</t>
  </si>
  <si>
    <t xml:space="preserve">Return base / stretch</t>
  </si>
  <si>
    <t xml:space="preserve">Founders/team</t>
  </si>
  <si>
    <t xml:space="preserve">Seed</t>
  </si>
  <si>
    <t xml:space="preserve">Series A</t>
  </si>
  <si>
    <t xml:space="preserve">TOTAL</t>
  </si>
  <si>
    <t xml:space="preserve">Pre-seed ($0.6M SAFE @ $4.5M cap) earns the HIGHEST return (enters earliest &amp; cheapest). Seed ~12x base. This is why a small pre-seed first is right: cheap/fast to raise, de-risks, and the pre-seed angel is best rewarded. Exit values link to Valuation (4x revenue).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</si>
</sst>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,,\M;&quot;($&quot;#,##0.0,,&quot;M)&quot;;\-"/>
    <numFmt numFmtId="167" formatCode="0.0\x"/>
    <numFmt numFmtId="168" formatCode="0.0"/>
    <numFmt numFmtId="169" formatCode="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D8A7E"/>
      <name val="Inter"/>
      <family val="0"/>
      <charset val="1"/>
    </font>
    <font>
      <sz val="11"/>
      <color rgb="FF1C2A29"/>
      <name val="Inter"/>
      <family val="0"/>
      <charset val="1"/>
    </font>
    <font>
      <i val="true"/>
      <sz val="9"/>
      <color rgb="FF5A6B69"/>
      <name val="Inter"/>
      <family val="0"/>
      <charset val="1"/>
    </font>
    <font>
      <b val="true"/>
      <sz val="11"/>
      <color rgb="FFF0F7F6"/>
      <name val="Inter"/>
      <family val="0"/>
      <charset val="1"/>
    </font>
    <font>
      <sz val="11"/>
      <color rgb="FF008000"/>
      <name val="Inter"/>
      <family val="0"/>
      <charset val="1"/>
    </font>
    <font>
      <sz val="10"/>
      <color rgb="FF1D8A7E"/>
      <name val="Inter"/>
      <family val="0"/>
      <charset val="1"/>
    </font>
    <font>
      <sz val="9"/>
      <color rgb="FF5A6B69"/>
      <name val="Inter"/>
      <family val="0"/>
      <charset val="1"/>
    </font>
    <font>
      <sz val="11"/>
      <color rgb="FF1D8A7E"/>
      <name val="Inter"/>
      <family val="0"/>
      <charset val="1"/>
    </font>
    <font>
      <b val="true"/>
      <sz val="11"/>
      <color rgb="FF1C2A29"/>
      <name val="Inter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F7F6"/>
        <bgColor rgb="FFFFFFCC"/>
      </patternFill>
    </fill>
    <fill>
      <patternFill patternType="solid">
        <fgColor rgb="FF1D8A7E"/>
        <bgColor rgb="FF008080"/>
      </patternFill>
    </fill>
    <fill>
      <patternFill patternType="solid">
        <fgColor rgb="FFC8E8E4"/>
        <bgColor rgb="FFB9E4DD"/>
      </patternFill>
    </fill>
    <fill>
      <patternFill patternType="solid">
        <fgColor rgb="FFB9E4DD"/>
        <bgColor rgb="FFC8E8E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7F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D8A7E"/>
      <rgbColor rgb="FFBBBBB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E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8E8E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6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2A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6" min="2" style="0" width="14"/>
  </cols>
  <sheetData>
    <row r="1" customFormat="false" ht="18.55" hidden="false" customHeight="false" outlineLevel="0" collapsed="false">
      <c r="A1" s="1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</row>
    <row r="4" customFormat="false" ht="44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customFormat="false" ht="15" hidden="false" customHeight="false" outlineLevel="0" collapsed="false">
      <c r="A5" s="5" t="s">
        <v>8</v>
      </c>
      <c r="B5" s="6" t="n">
        <f aca="false">Drivers!B5</f>
        <v>0.09</v>
      </c>
      <c r="C5" s="6" t="n">
        <f aca="false">Drivers!C5</f>
        <v>0.5</v>
      </c>
      <c r="D5" s="6" t="n">
        <f aca="false">Drivers!D5</f>
        <v>1</v>
      </c>
      <c r="E5" s="6" t="n">
        <f aca="false">Drivers!E5</f>
        <v>1.3</v>
      </c>
      <c r="F5" s="6" t="n">
        <f aca="false">Drivers!F5</f>
        <v>1.5</v>
      </c>
    </row>
    <row r="6" customFormat="false" ht="15" hidden="false" customHeight="false" outlineLevel="0" collapsed="false">
      <c r="A6" s="5" t="s">
        <v>9</v>
      </c>
      <c r="B6" s="6" t="n">
        <f aca="false">Drivers!B6</f>
        <v>0.09</v>
      </c>
      <c r="C6" s="6" t="n">
        <f aca="false">Drivers!C6</f>
        <v>0.5</v>
      </c>
      <c r="D6" s="6" t="n">
        <f aca="false">Drivers!D6</f>
        <v>2.5</v>
      </c>
      <c r="E6" s="6" t="n">
        <f aca="false">Drivers!E6</f>
        <v>6</v>
      </c>
      <c r="F6" s="6" t="n">
        <f aca="false">Drivers!F6</f>
        <v>10</v>
      </c>
    </row>
    <row r="7" customFormat="false" ht="15" hidden="false" customHeight="false" outlineLevel="0" collapsed="false">
      <c r="A7" s="5" t="s">
        <v>10</v>
      </c>
      <c r="B7" s="7" t="n">
        <f aca="false">'P&amp;L'!B4</f>
        <v>0</v>
      </c>
      <c r="C7" s="7" t="n">
        <f aca="false">'P&amp;L'!C4</f>
        <v>3154875</v>
      </c>
      <c r="D7" s="7" t="n">
        <f aca="false">'P&amp;L'!D4</f>
        <v>25105250</v>
      </c>
      <c r="E7" s="7" t="n">
        <f aca="false">'P&amp;L'!E4</f>
        <v>45511825</v>
      </c>
      <c r="F7" s="7" t="n">
        <f aca="false">'P&amp;L'!F4</f>
        <v>67332875</v>
      </c>
    </row>
    <row r="8" customFormat="false" ht="15" hidden="false" customHeight="false" outlineLevel="0" collapsed="false">
      <c r="A8" s="5" t="s">
        <v>11</v>
      </c>
      <c r="B8" s="7" t="n">
        <f aca="false">'P&amp;L'!B6</f>
        <v>-3530000</v>
      </c>
      <c r="C8" s="7" t="n">
        <f aca="false">'P&amp;L'!C6</f>
        <v>-8268050</v>
      </c>
      <c r="D8" s="7" t="n">
        <f aca="false">'P&amp;L'!D6</f>
        <v>-4477250</v>
      </c>
      <c r="E8" s="7" t="n">
        <f aca="false">'P&amp;L'!E6</f>
        <v>2019575</v>
      </c>
      <c r="F8" s="7" t="n">
        <f aca="false">'P&amp;L'!F6</f>
        <v>14784125</v>
      </c>
    </row>
    <row r="9" customFormat="false" ht="15" hidden="false" customHeight="false" outlineLevel="0" collapsed="false">
      <c r="A9" s="5" t="s">
        <v>12</v>
      </c>
      <c r="B9" s="7" t="n">
        <f aca="false">Valuation!B5</f>
        <v>0</v>
      </c>
      <c r="C9" s="7" t="n">
        <f aca="false">Valuation!C5</f>
        <v>12619500</v>
      </c>
      <c r="D9" s="7" t="n">
        <f aca="false">Valuation!D5</f>
        <v>100421000</v>
      </c>
      <c r="E9" s="7" t="n">
        <f aca="false">Valuation!E5</f>
        <v>182047300</v>
      </c>
      <c r="F9" s="7" t="n">
        <f aca="false">Valuation!F5</f>
        <v>269331500</v>
      </c>
    </row>
    <row r="10" customFormat="false" ht="15" hidden="false" customHeight="false" outlineLevel="0" collapsed="false">
      <c r="A10" s="8" t="s">
        <v>13</v>
      </c>
      <c r="B10" s="9" t="n">
        <f aca="false">Valuation!B6</f>
        <v>0</v>
      </c>
      <c r="C10" s="9" t="n">
        <f aca="false">Valuation!C6</f>
        <v>20000000</v>
      </c>
      <c r="D10" s="9" t="n">
        <f aca="false">Valuation!D6</f>
        <v>360000000</v>
      </c>
      <c r="E10" s="9" t="n">
        <f aca="false">Valuation!E6</f>
        <v>800000000</v>
      </c>
      <c r="F10" s="9" t="n">
        <f aca="false">Valuation!F6</f>
        <v>1320000000</v>
      </c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</row>
    <row r="13" customFormat="false" ht="15" hidden="false" customHeight="false" outlineLevel="0" collapsed="false">
      <c r="A13" s="10" t="s">
        <v>14</v>
      </c>
      <c r="F13" s="11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6"/>
    <col collapsed="false" customWidth="true" hidden="false" outlineLevel="0" max="6" min="2" style="0" width="14"/>
  </cols>
  <sheetData>
    <row r="1" customFormat="false" ht="18.55" hidden="false" customHeight="false" outlineLevel="0" collapsed="false">
      <c r="A1" s="1" t="s">
        <v>16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 t="s">
        <v>17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</row>
    <row r="4" customFormat="false" ht="44" hidden="false" customHeight="false" outlineLevel="0" collapsed="false">
      <c r="A4" s="4" t="s">
        <v>18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customFormat="false" ht="15" hidden="false" customHeight="false" outlineLevel="0" collapsed="false">
      <c r="A5" s="5" t="s">
        <v>19</v>
      </c>
      <c r="B5" s="12" t="n">
        <v>0.09</v>
      </c>
      <c r="C5" s="12" t="n">
        <v>0.5</v>
      </c>
      <c r="D5" s="12" t="n">
        <v>1</v>
      </c>
      <c r="E5" s="12" t="n">
        <v>1.3</v>
      </c>
      <c r="F5" s="12" t="n">
        <v>1.5</v>
      </c>
    </row>
    <row r="6" customFormat="false" ht="15" hidden="false" customHeight="false" outlineLevel="0" collapsed="false">
      <c r="A6" s="5" t="s">
        <v>20</v>
      </c>
      <c r="B6" s="12" t="n">
        <v>0.09</v>
      </c>
      <c r="C6" s="12" t="n">
        <v>0.5</v>
      </c>
      <c r="D6" s="12" t="n">
        <v>2.5</v>
      </c>
      <c r="E6" s="12" t="n">
        <v>6</v>
      </c>
      <c r="F6" s="12" t="n">
        <v>10</v>
      </c>
    </row>
    <row r="7" customFormat="false" ht="15" hidden="false" customHeight="false" outlineLevel="0" collapsed="false">
      <c r="A7" s="2"/>
      <c r="B7" s="2"/>
      <c r="C7" s="2"/>
      <c r="D7" s="2"/>
      <c r="E7" s="2"/>
      <c r="F7" s="2"/>
    </row>
    <row r="8" customFormat="false" ht="15" hidden="false" customHeight="false" outlineLevel="0" collapsed="false">
      <c r="A8" s="13" t="s">
        <v>21</v>
      </c>
      <c r="B8" s="2"/>
      <c r="C8" s="2"/>
      <c r="D8" s="2"/>
      <c r="E8" s="2"/>
      <c r="F8" s="2"/>
    </row>
    <row r="9" customFormat="false" ht="15" hidden="false" customHeight="false" outlineLevel="0" collapsed="false">
      <c r="A9" s="5" t="s">
        <v>22</v>
      </c>
      <c r="B9" s="12" t="n">
        <v>0</v>
      </c>
      <c r="C9" s="12" t="n">
        <v>0.09</v>
      </c>
      <c r="D9" s="12" t="n">
        <v>1</v>
      </c>
      <c r="E9" s="12" t="n">
        <v>1.3</v>
      </c>
      <c r="F9" s="12" t="n">
        <v>1.5</v>
      </c>
    </row>
    <row r="10" customFormat="false" ht="29.85" hidden="false" customHeight="false" outlineLevel="0" collapsed="false">
      <c r="A10" s="5" t="s">
        <v>23</v>
      </c>
      <c r="B10" s="12" t="n">
        <v>12.75</v>
      </c>
      <c r="C10" s="12" t="n">
        <v>12.75</v>
      </c>
      <c r="D10" s="12" t="n">
        <v>12.75</v>
      </c>
      <c r="E10" s="12" t="n">
        <v>12.75</v>
      </c>
      <c r="F10" s="12" t="n">
        <v>12.75</v>
      </c>
    </row>
    <row r="11" customFormat="false" ht="15" hidden="false" customHeight="false" outlineLevel="0" collapsed="false">
      <c r="A11" s="5" t="s">
        <v>24</v>
      </c>
      <c r="B11" s="12" t="n">
        <v>3</v>
      </c>
      <c r="C11" s="12" t="n">
        <v>3</v>
      </c>
      <c r="D11" s="12" t="n">
        <v>3</v>
      </c>
      <c r="E11" s="12" t="n">
        <v>3</v>
      </c>
      <c r="F11" s="12" t="n">
        <v>3</v>
      </c>
    </row>
    <row r="12" customFormat="false" ht="15" hidden="false" customHeight="false" outlineLevel="0" collapsed="false">
      <c r="A12" s="5" t="s">
        <v>25</v>
      </c>
      <c r="B12" s="12" t="n">
        <v>0.15</v>
      </c>
      <c r="C12" s="12" t="n">
        <v>0.15</v>
      </c>
      <c r="D12" s="12" t="n">
        <v>0.15</v>
      </c>
      <c r="E12" s="12" t="n">
        <v>0.15</v>
      </c>
      <c r="F12" s="12" t="n">
        <v>0.15</v>
      </c>
    </row>
    <row r="13" customFormat="false" ht="29.85" hidden="false" customHeight="false" outlineLevel="0" collapsed="false">
      <c r="A13" s="5" t="s">
        <v>26</v>
      </c>
      <c r="B13" s="12" t="n">
        <v>0.4</v>
      </c>
      <c r="C13" s="12" t="n">
        <v>0.4</v>
      </c>
      <c r="D13" s="12" t="n">
        <v>0.4</v>
      </c>
      <c r="E13" s="12" t="n">
        <v>0.4</v>
      </c>
      <c r="F13" s="12" t="n">
        <v>0.4</v>
      </c>
    </row>
    <row r="14" customFormat="false" ht="15" hidden="false" customHeight="false" outlineLevel="0" collapsed="false">
      <c r="A14" s="5" t="s">
        <v>27</v>
      </c>
      <c r="B14" s="12" t="n">
        <v>8</v>
      </c>
      <c r="C14" s="12" t="n">
        <v>5</v>
      </c>
      <c r="D14" s="12" t="n">
        <v>4</v>
      </c>
      <c r="E14" s="12" t="n">
        <v>3.5</v>
      </c>
      <c r="F14" s="12" t="n">
        <v>3</v>
      </c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</row>
    <row r="16" customFormat="false" ht="15" hidden="false" customHeight="false" outlineLevel="0" collapsed="false">
      <c r="A16" s="13" t="s">
        <v>28</v>
      </c>
      <c r="B16" s="2"/>
      <c r="C16" s="2"/>
      <c r="D16" s="2"/>
      <c r="E16" s="2"/>
      <c r="F16" s="2"/>
    </row>
    <row r="17" customFormat="false" ht="15" hidden="false" customHeight="false" outlineLevel="0" collapsed="false">
      <c r="A17" s="5" t="s">
        <v>29</v>
      </c>
      <c r="B17" s="12" t="n">
        <v>0</v>
      </c>
      <c r="C17" s="12" t="n">
        <v>3.5</v>
      </c>
      <c r="D17" s="12" t="n">
        <v>3.5</v>
      </c>
      <c r="E17" s="12" t="n">
        <v>3.5</v>
      </c>
      <c r="F17" s="12" t="n">
        <v>3.5</v>
      </c>
    </row>
    <row r="18" customFormat="false" ht="29.85" hidden="false" customHeight="false" outlineLevel="0" collapsed="false">
      <c r="A18" s="5" t="s">
        <v>30</v>
      </c>
      <c r="B18" s="12" t="n">
        <v>9</v>
      </c>
      <c r="C18" s="12" t="n">
        <v>6</v>
      </c>
      <c r="D18" s="12" t="n">
        <v>3.5</v>
      </c>
      <c r="E18" s="12" t="n">
        <v>2.5</v>
      </c>
      <c r="F18" s="12" t="n">
        <v>2</v>
      </c>
    </row>
    <row r="19" customFormat="false" ht="15" hidden="false" customHeight="false" outlineLevel="0" collapsed="false">
      <c r="A19" s="5" t="s">
        <v>31</v>
      </c>
      <c r="B19" s="12" t="n">
        <v>0</v>
      </c>
      <c r="C19" s="12" t="n">
        <v>0.05</v>
      </c>
      <c r="D19" s="12" t="n">
        <v>0.05</v>
      </c>
      <c r="E19" s="12" t="n">
        <v>0.05</v>
      </c>
      <c r="F19" s="12" t="n">
        <v>0.05</v>
      </c>
    </row>
    <row r="20" customFormat="false" ht="15" hidden="false" customHeight="false" outlineLevel="0" collapsed="false">
      <c r="A20" s="5" t="s">
        <v>32</v>
      </c>
      <c r="B20" s="12" t="n">
        <v>0</v>
      </c>
      <c r="C20" s="12" t="n">
        <v>8</v>
      </c>
      <c r="D20" s="12" t="n">
        <v>8</v>
      </c>
      <c r="E20" s="12" t="n">
        <v>8</v>
      </c>
      <c r="F20" s="12" t="n">
        <v>8</v>
      </c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</row>
    <row r="22" customFormat="false" ht="15" hidden="false" customHeight="false" outlineLevel="0" collapsed="false">
      <c r="A22" s="13" t="s">
        <v>33</v>
      </c>
      <c r="B22" s="2"/>
      <c r="C22" s="2"/>
      <c r="D22" s="2"/>
      <c r="E22" s="2"/>
      <c r="F22" s="2"/>
    </row>
    <row r="23" customFormat="false" ht="15" hidden="false" customHeight="false" outlineLevel="0" collapsed="false">
      <c r="A23" s="5" t="s">
        <v>34</v>
      </c>
      <c r="B23" s="12" t="n">
        <v>0</v>
      </c>
      <c r="C23" s="12" t="n">
        <v>0</v>
      </c>
      <c r="D23" s="12" t="n">
        <v>1</v>
      </c>
      <c r="E23" s="12" t="n">
        <v>2.5</v>
      </c>
      <c r="F23" s="12" t="n">
        <v>4</v>
      </c>
    </row>
    <row r="24" customFormat="false" ht="15" hidden="false" customHeight="false" outlineLevel="0" collapsed="false">
      <c r="A24" s="5" t="s">
        <v>35</v>
      </c>
      <c r="B24" s="12" t="n">
        <v>0</v>
      </c>
      <c r="C24" s="12" t="n">
        <v>0</v>
      </c>
      <c r="D24" s="12" t="n">
        <v>2</v>
      </c>
      <c r="E24" s="12" t="n">
        <v>6</v>
      </c>
      <c r="F24" s="12" t="n">
        <v>15</v>
      </c>
    </row>
    <row r="25" customFormat="false" ht="15" hidden="false" customHeight="false" outlineLevel="0" collapsed="false">
      <c r="A25" s="5" t="s">
        <v>36</v>
      </c>
      <c r="B25" s="12" t="n">
        <v>0.15</v>
      </c>
      <c r="C25" s="12" t="n">
        <v>0.15</v>
      </c>
      <c r="D25" s="12" t="n">
        <v>0.15</v>
      </c>
      <c r="E25" s="12" t="n">
        <v>0.15</v>
      </c>
      <c r="F25" s="12" t="n">
        <v>0.15</v>
      </c>
    </row>
    <row r="26" customFormat="false" ht="15" hidden="false" customHeight="false" outlineLevel="0" collapsed="false">
      <c r="A26" s="5" t="s">
        <v>37</v>
      </c>
      <c r="B26" s="12" t="n">
        <v>0</v>
      </c>
      <c r="C26" s="12" t="n">
        <v>0</v>
      </c>
      <c r="D26" s="12" t="n">
        <v>0.02</v>
      </c>
      <c r="E26" s="12" t="n">
        <v>0.02</v>
      </c>
      <c r="F26" s="12" t="n">
        <v>0.02</v>
      </c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</row>
    <row r="28" customFormat="false" ht="15" hidden="false" customHeight="false" outlineLevel="0" collapsed="false">
      <c r="A28" s="13" t="s">
        <v>38</v>
      </c>
      <c r="B28" s="2"/>
      <c r="C28" s="2"/>
      <c r="D28" s="2"/>
      <c r="E28" s="2"/>
      <c r="F28" s="2"/>
    </row>
    <row r="29" customFormat="false" ht="15" hidden="false" customHeight="false" outlineLevel="0" collapsed="false">
      <c r="A29" s="5" t="s">
        <v>39</v>
      </c>
      <c r="B29" s="12" t="n">
        <v>0.4</v>
      </c>
      <c r="C29" s="12" t="n">
        <v>1.2</v>
      </c>
      <c r="D29" s="12" t="n">
        <v>1.8</v>
      </c>
      <c r="E29" s="12" t="n">
        <v>2.5</v>
      </c>
      <c r="F29" s="12" t="n">
        <v>3</v>
      </c>
    </row>
    <row r="30" customFormat="false" ht="15" hidden="false" customHeight="false" outlineLevel="0" collapsed="false">
      <c r="A30" s="5" t="s">
        <v>40</v>
      </c>
      <c r="B30" s="12" t="n">
        <v>1.6</v>
      </c>
      <c r="C30" s="12" t="n">
        <v>4</v>
      </c>
      <c r="D30" s="12" t="n">
        <v>7</v>
      </c>
      <c r="E30" s="12" t="n">
        <v>11</v>
      </c>
      <c r="F30" s="12" t="n">
        <v>13</v>
      </c>
    </row>
    <row r="31" customFormat="false" ht="29.85" hidden="false" customHeight="false" outlineLevel="0" collapsed="false">
      <c r="A31" s="5" t="s">
        <v>41</v>
      </c>
      <c r="B31" s="12" t="n">
        <v>4</v>
      </c>
      <c r="C31" s="12" t="n">
        <v>2.7</v>
      </c>
      <c r="D31" s="12" t="n">
        <v>4</v>
      </c>
      <c r="E31" s="12" t="n">
        <v>5</v>
      </c>
      <c r="F31" s="12" t="n">
        <v>4</v>
      </c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</row>
    <row r="33" customFormat="false" ht="15" hidden="false" customHeight="false" outlineLevel="0" collapsed="false">
      <c r="A33" s="13" t="s">
        <v>42</v>
      </c>
      <c r="B33" s="2"/>
      <c r="C33" s="2"/>
      <c r="D33" s="2"/>
      <c r="E33" s="2"/>
      <c r="F33" s="2"/>
    </row>
    <row r="34" customFormat="false" ht="29.85" hidden="false" customHeight="false" outlineLevel="0" collapsed="false">
      <c r="A34" s="5" t="s">
        <v>43</v>
      </c>
      <c r="B34" s="14" t="n">
        <v>4</v>
      </c>
      <c r="C34" s="2"/>
      <c r="D34" s="2"/>
      <c r="E34" s="2"/>
      <c r="F34" s="2"/>
    </row>
    <row r="35" customFormat="false" ht="15" hidden="false" customHeight="false" outlineLevel="0" collapsed="false">
      <c r="A35" s="5" t="s">
        <v>44</v>
      </c>
      <c r="B35" s="14" t="n">
        <v>18</v>
      </c>
      <c r="C35" s="2"/>
      <c r="D35" s="2"/>
      <c r="E35" s="2"/>
      <c r="F35" s="2"/>
    </row>
    <row r="36" customFormat="false" ht="15" hidden="false" customHeight="false" outlineLevel="0" collapsed="false">
      <c r="A36" s="5" t="s">
        <v>45</v>
      </c>
      <c r="B36" s="15" t="n">
        <v>35</v>
      </c>
      <c r="C36" s="2"/>
      <c r="D36" s="2"/>
      <c r="E36" s="2"/>
      <c r="F36" s="2"/>
    </row>
    <row r="37" customFormat="false" ht="15" hidden="false" customHeight="false" outlineLevel="0" collapsed="false">
      <c r="A37" s="5" t="s">
        <v>46</v>
      </c>
      <c r="B37" s="16" t="n">
        <v>0.3</v>
      </c>
      <c r="C37" s="2"/>
      <c r="D37" s="2"/>
      <c r="E37" s="2"/>
      <c r="F37" s="2"/>
    </row>
    <row r="38" customFormat="false" ht="15" hidden="false" customHeight="false" outlineLevel="0" collapsed="false">
      <c r="A38" s="2"/>
      <c r="B38" s="2"/>
      <c r="C38" s="2"/>
      <c r="D38" s="2"/>
      <c r="E38" s="2"/>
      <c r="F38" s="2"/>
    </row>
    <row r="39" customFormat="false" ht="15" hidden="false" customHeight="false" outlineLevel="0" collapsed="false">
      <c r="A39" s="3" t="s">
        <v>47</v>
      </c>
      <c r="B39" s="2"/>
      <c r="C39" s="2"/>
      <c r="D39" s="2"/>
      <c r="E39" s="2"/>
      <c r="F39" s="2"/>
    </row>
    <row r="40" customFormat="false" ht="15" hidden="false" customHeight="false" outlineLevel="0" collapsed="false">
      <c r="A40" s="2"/>
      <c r="B40" s="2"/>
      <c r="C40" s="2"/>
      <c r="D40" s="2"/>
      <c r="E40" s="2"/>
      <c r="F40" s="2"/>
    </row>
    <row r="42" customFormat="false" ht="15" hidden="false" customHeight="false" outlineLevel="0" collapsed="false">
      <c r="A42" s="10" t="s">
        <v>14</v>
      </c>
      <c r="F42" s="11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6"/>
    <col collapsed="false" customWidth="true" hidden="false" outlineLevel="0" max="6" min="2" style="0" width="14"/>
  </cols>
  <sheetData>
    <row r="1" customFormat="false" ht="18.55" hidden="false" customHeight="false" outlineLevel="0" collapsed="false">
      <c r="A1" s="1" t="s">
        <v>48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</row>
    <row r="3" customFormat="false" ht="44" hidden="false" customHeight="false" outlineLevel="0" collapsed="false">
      <c r="A3" s="4" t="s">
        <v>49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customFormat="false" ht="29.85" hidden="false" customHeight="false" outlineLevel="0" collapsed="false">
      <c r="A4" s="5" t="s">
        <v>50</v>
      </c>
      <c r="B4" s="17" t="n">
        <f aca="false">Drivers!B9*1000000*(Drivers!B10+Drivers!B11)*(1-Drivers!B12)</f>
        <v>0</v>
      </c>
      <c r="C4" s="17" t="n">
        <f aca="false">Drivers!C9*1000000*(Drivers!C10+Drivers!C11)*(1-Drivers!C12)</f>
        <v>1204875</v>
      </c>
      <c r="D4" s="17" t="n">
        <f aca="false">Drivers!D9*1000000*(Drivers!D10+Drivers!D11)*(1-Drivers!D12)</f>
        <v>13387500</v>
      </c>
      <c r="E4" s="17" t="n">
        <f aca="false">Drivers!E9*1000000*(Drivers!E10+Drivers!E11)*(1-Drivers!E12)</f>
        <v>17403750</v>
      </c>
      <c r="F4" s="17" t="n">
        <f aca="false">Drivers!F9*1000000*(Drivers!F10+Drivers!F11)*(1-Drivers!F12)</f>
        <v>20081250</v>
      </c>
    </row>
    <row r="5" customFormat="false" ht="15" hidden="false" customHeight="false" outlineLevel="0" collapsed="false">
      <c r="A5" s="5" t="s">
        <v>51</v>
      </c>
      <c r="B5" s="17" t="n">
        <f aca="false">Drivers!B6*1000000*Drivers!B17</f>
        <v>0</v>
      </c>
      <c r="C5" s="17" t="n">
        <f aca="false">Drivers!C6*1000000*Drivers!C17</f>
        <v>1750000</v>
      </c>
      <c r="D5" s="17" t="n">
        <f aca="false">Drivers!D6*1000000*Drivers!D17</f>
        <v>8750000</v>
      </c>
      <c r="E5" s="17" t="n">
        <f aca="false">Drivers!E6*1000000*Drivers!E17</f>
        <v>21000000</v>
      </c>
      <c r="F5" s="17" t="n">
        <f aca="false">Drivers!F6*1000000*Drivers!F17</f>
        <v>35000000</v>
      </c>
    </row>
    <row r="6" customFormat="false" ht="15" hidden="false" customHeight="false" outlineLevel="0" collapsed="false">
      <c r="A6" s="5" t="s">
        <v>52</v>
      </c>
      <c r="B6" s="17" t="n">
        <f aca="false">Drivers!B6*1000000*Drivers!B20*Drivers!B19</f>
        <v>0</v>
      </c>
      <c r="C6" s="17" t="n">
        <f aca="false">Drivers!C6*1000000*Drivers!C20*Drivers!C19</f>
        <v>200000</v>
      </c>
      <c r="D6" s="17" t="n">
        <f aca="false">Drivers!D6*1000000*Drivers!D20*Drivers!D19</f>
        <v>1000000</v>
      </c>
      <c r="E6" s="17" t="n">
        <f aca="false">Drivers!E6*1000000*Drivers!E20*Drivers!E19</f>
        <v>2400000</v>
      </c>
      <c r="F6" s="17" t="n">
        <f aca="false">Drivers!F6*1000000*Drivers!F20*Drivers!F19</f>
        <v>4000000</v>
      </c>
    </row>
    <row r="7" customFormat="false" ht="15" hidden="false" customHeight="false" outlineLevel="0" collapsed="false">
      <c r="A7" s="5" t="s">
        <v>53</v>
      </c>
      <c r="B7" s="17" t="n">
        <f aca="false">Drivers!B23*1000000</f>
        <v>0</v>
      </c>
      <c r="C7" s="17" t="n">
        <f aca="false">Drivers!C23*1000000</f>
        <v>0</v>
      </c>
      <c r="D7" s="17" t="n">
        <f aca="false">Drivers!D23*1000000</f>
        <v>1000000</v>
      </c>
      <c r="E7" s="17" t="n">
        <f aca="false">Drivers!E23*1000000</f>
        <v>2500000</v>
      </c>
      <c r="F7" s="17" t="n">
        <f aca="false">Drivers!F23*1000000</f>
        <v>4000000</v>
      </c>
    </row>
    <row r="8" customFormat="false" ht="15" hidden="false" customHeight="false" outlineLevel="0" collapsed="false">
      <c r="A8" s="5" t="s">
        <v>54</v>
      </c>
      <c r="B8" s="17" t="n">
        <f aca="false">Drivers!B24*Drivers!B25*1000000</f>
        <v>0</v>
      </c>
      <c r="C8" s="17" t="n">
        <f aca="false">Drivers!C24*Drivers!C25*1000000</f>
        <v>0</v>
      </c>
      <c r="D8" s="17" t="n">
        <f aca="false">Drivers!D24*Drivers!D25*1000000</f>
        <v>300000</v>
      </c>
      <c r="E8" s="17" t="n">
        <f aca="false">Drivers!E24*Drivers!E25*1000000</f>
        <v>900000</v>
      </c>
      <c r="F8" s="17" t="n">
        <f aca="false">Drivers!F24*Drivers!F25*1000000</f>
        <v>2250000</v>
      </c>
    </row>
    <row r="9" customFormat="false" ht="29.85" hidden="false" customHeight="false" outlineLevel="0" collapsed="false">
      <c r="A9" s="5" t="s">
        <v>55</v>
      </c>
      <c r="B9" s="17" t="n">
        <f aca="false">(B4+Drivers!B6*1000000*Drivers!B20)*Drivers!B26</f>
        <v>0</v>
      </c>
      <c r="C9" s="17" t="n">
        <f aca="false">(C4+Drivers!C6*1000000*Drivers!C20)*Drivers!C26</f>
        <v>0</v>
      </c>
      <c r="D9" s="17" t="n">
        <f aca="false">(D4+Drivers!D6*1000000*Drivers!D20)*Drivers!D26</f>
        <v>667750</v>
      </c>
      <c r="E9" s="17" t="n">
        <f aca="false">(E4+Drivers!E6*1000000*Drivers!E20)*Drivers!E26</f>
        <v>1308075</v>
      </c>
      <c r="F9" s="17" t="n">
        <f aca="false">(F4+Drivers!F6*1000000*Drivers!F20)*Drivers!F26</f>
        <v>2001625</v>
      </c>
    </row>
    <row r="10" customFormat="false" ht="15" hidden="false" customHeight="false" outlineLevel="0" collapsed="false">
      <c r="A10" s="18" t="s">
        <v>56</v>
      </c>
      <c r="B10" s="19" t="n">
        <f aca="false">SUM(B4:B9)</f>
        <v>0</v>
      </c>
      <c r="C10" s="19" t="n">
        <f aca="false">SUM(C4:C9)</f>
        <v>3154875</v>
      </c>
      <c r="D10" s="19" t="n">
        <f aca="false">SUM(D4:D9)</f>
        <v>25105250</v>
      </c>
      <c r="E10" s="19" t="n">
        <f aca="false">SUM(E4:E9)</f>
        <v>45511825</v>
      </c>
      <c r="F10" s="19" t="n">
        <f aca="false">SUM(F4:F9)</f>
        <v>67332875</v>
      </c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</row>
    <row r="13" customFormat="false" ht="15" hidden="false" customHeight="false" outlineLevel="0" collapsed="false">
      <c r="A13" s="10" t="s">
        <v>14</v>
      </c>
      <c r="F13" s="11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6"/>
    <col collapsed="false" customWidth="true" hidden="false" outlineLevel="0" max="6" min="2" style="0" width="14"/>
  </cols>
  <sheetData>
    <row r="1" customFormat="false" ht="18.55" hidden="false" customHeight="false" outlineLevel="0" collapsed="false">
      <c r="A1" s="1" t="s">
        <v>57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</row>
    <row r="3" customFormat="false" ht="44" hidden="false" customHeight="false" outlineLevel="0" collapsed="false">
      <c r="A3" s="4" t="s">
        <v>58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customFormat="false" ht="29.85" hidden="false" customHeight="false" outlineLevel="0" collapsed="false">
      <c r="A4" s="5" t="s">
        <v>59</v>
      </c>
      <c r="B4" s="17" t="n">
        <f aca="false">Revenue!B4*(1-Drivers!B13)</f>
        <v>0</v>
      </c>
      <c r="C4" s="17" t="n">
        <f aca="false">Revenue!C4*(1-Drivers!C13)</f>
        <v>722925</v>
      </c>
      <c r="D4" s="17" t="n">
        <f aca="false">Revenue!D4*(1-Drivers!D13)</f>
        <v>8032500</v>
      </c>
      <c r="E4" s="17" t="n">
        <f aca="false">Revenue!E4*(1-Drivers!E13)</f>
        <v>10442250</v>
      </c>
      <c r="F4" s="17" t="n">
        <f aca="false">Revenue!F4*(1-Drivers!F13)</f>
        <v>12048750</v>
      </c>
    </row>
    <row r="5" customFormat="false" ht="15" hidden="false" customHeight="false" outlineLevel="0" collapsed="false">
      <c r="A5" s="5" t="s">
        <v>60</v>
      </c>
      <c r="B5" s="17" t="n">
        <f aca="false">Drivers!B5*1000000*Drivers!B14</f>
        <v>720000</v>
      </c>
      <c r="C5" s="17" t="n">
        <f aca="false">Drivers!C5*1000000*Drivers!C14</f>
        <v>2500000</v>
      </c>
      <c r="D5" s="17" t="n">
        <f aca="false">Drivers!D5*1000000*Drivers!D14</f>
        <v>4000000</v>
      </c>
      <c r="E5" s="17" t="n">
        <f aca="false">Drivers!E5*1000000*Drivers!E14</f>
        <v>4550000</v>
      </c>
      <c r="F5" s="17" t="n">
        <f aca="false">Drivers!F5*1000000*Drivers!F14</f>
        <v>4500000</v>
      </c>
    </row>
    <row r="6" customFormat="false" ht="15" hidden="false" customHeight="false" outlineLevel="0" collapsed="false">
      <c r="A6" s="5" t="s">
        <v>61</v>
      </c>
      <c r="B6" s="17" t="n">
        <f aca="false">Drivers!B6*1000000*Drivers!B18</f>
        <v>810000</v>
      </c>
      <c r="C6" s="17" t="n">
        <f aca="false">Drivers!C6*1000000*Drivers!C18</f>
        <v>3000000</v>
      </c>
      <c r="D6" s="17" t="n">
        <f aca="false">Drivers!D6*1000000*Drivers!D18</f>
        <v>8750000</v>
      </c>
      <c r="E6" s="17" t="n">
        <f aca="false">Drivers!E6*1000000*Drivers!E18</f>
        <v>15000000</v>
      </c>
      <c r="F6" s="17" t="n">
        <f aca="false">Drivers!F6*1000000*Drivers!F18</f>
        <v>20000000</v>
      </c>
    </row>
    <row r="7" customFormat="false" ht="15" hidden="false" customHeight="false" outlineLevel="0" collapsed="false">
      <c r="A7" s="5" t="s">
        <v>62</v>
      </c>
      <c r="B7" s="17" t="n">
        <f aca="false">Drivers!B29*1000000</f>
        <v>400000</v>
      </c>
      <c r="C7" s="17" t="n">
        <f aca="false">Drivers!C29*1000000</f>
        <v>1200000</v>
      </c>
      <c r="D7" s="17" t="n">
        <f aca="false">Drivers!D29*1000000</f>
        <v>1800000</v>
      </c>
      <c r="E7" s="17" t="n">
        <f aca="false">Drivers!E29*1000000</f>
        <v>2500000</v>
      </c>
      <c r="F7" s="17" t="n">
        <f aca="false">Drivers!F29*1000000</f>
        <v>3000000</v>
      </c>
    </row>
    <row r="8" customFormat="false" ht="15" hidden="false" customHeight="false" outlineLevel="0" collapsed="false">
      <c r="A8" s="5" t="s">
        <v>63</v>
      </c>
      <c r="B8" s="17" t="n">
        <f aca="false">Drivers!B30*1000000</f>
        <v>1600000</v>
      </c>
      <c r="C8" s="17" t="n">
        <f aca="false">Drivers!C30*1000000</f>
        <v>4000000</v>
      </c>
      <c r="D8" s="17" t="n">
        <f aca="false">Drivers!D30*1000000</f>
        <v>7000000</v>
      </c>
      <c r="E8" s="17" t="n">
        <f aca="false">Drivers!E30*1000000</f>
        <v>11000000</v>
      </c>
      <c r="F8" s="17" t="n">
        <f aca="false">Drivers!F30*1000000</f>
        <v>13000000</v>
      </c>
    </row>
    <row r="9" customFormat="false" ht="15" hidden="false" customHeight="false" outlineLevel="0" collapsed="false">
      <c r="A9" s="18" t="s">
        <v>64</v>
      </c>
      <c r="B9" s="19" t="n">
        <f aca="false">SUM(B4:B8)</f>
        <v>3530000</v>
      </c>
      <c r="C9" s="19" t="n">
        <f aca="false">SUM(C4:C8)</f>
        <v>11422925</v>
      </c>
      <c r="D9" s="19" t="n">
        <f aca="false">SUM(D4:D8)</f>
        <v>29582500</v>
      </c>
      <c r="E9" s="19" t="n">
        <f aca="false">SUM(E4:E8)</f>
        <v>43492250</v>
      </c>
      <c r="F9" s="19" t="n">
        <f aca="false">SUM(F4:F8)</f>
        <v>52548750</v>
      </c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</row>
    <row r="11" customFormat="false" ht="15" hidden="false" customHeight="false" outlineLevel="0" collapsed="false">
      <c r="A11" s="5" t="s">
        <v>65</v>
      </c>
      <c r="B11" s="20" t="n">
        <f aca="false">Drivers!B31*1000000</f>
        <v>4000000</v>
      </c>
      <c r="C11" s="20" t="n">
        <f aca="false">Drivers!C31*1000000</f>
        <v>2700000</v>
      </c>
      <c r="D11" s="20" t="n">
        <f aca="false">Drivers!D31*1000000</f>
        <v>4000000</v>
      </c>
      <c r="E11" s="20" t="n">
        <f aca="false">Drivers!E31*1000000</f>
        <v>5000000</v>
      </c>
      <c r="F11" s="20" t="n">
        <f aca="false">Drivers!F31*1000000</f>
        <v>4000000</v>
      </c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</row>
    <row r="14" customFormat="false" ht="15" hidden="false" customHeight="false" outlineLevel="0" collapsed="false">
      <c r="A14" s="10" t="s">
        <v>14</v>
      </c>
      <c r="F14" s="11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6"/>
    <col collapsed="false" customWidth="true" hidden="false" outlineLevel="0" max="6" min="2" style="0" width="14"/>
  </cols>
  <sheetData>
    <row r="1" customFormat="false" ht="18.55" hidden="false" customHeight="false" outlineLevel="0" collapsed="false">
      <c r="A1" s="1" t="s">
        <v>66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</row>
    <row r="3" customFormat="false" ht="44" hidden="false" customHeight="false" outlineLevel="0" collapsed="false">
      <c r="A3" s="4" t="s">
        <v>67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customFormat="false" ht="15" hidden="false" customHeight="false" outlineLevel="0" collapsed="false">
      <c r="A4" s="5" t="s">
        <v>10</v>
      </c>
      <c r="B4" s="7" t="n">
        <f aca="false">Revenue!B10</f>
        <v>0</v>
      </c>
      <c r="C4" s="7" t="n">
        <f aca="false">Revenue!C10</f>
        <v>3154875</v>
      </c>
      <c r="D4" s="7" t="n">
        <f aca="false">Revenue!D10</f>
        <v>25105250</v>
      </c>
      <c r="E4" s="7" t="n">
        <f aca="false">Revenue!E10</f>
        <v>45511825</v>
      </c>
      <c r="F4" s="7" t="n">
        <f aca="false">Revenue!F10</f>
        <v>67332875</v>
      </c>
    </row>
    <row r="5" customFormat="false" ht="15" hidden="false" customHeight="false" outlineLevel="0" collapsed="false">
      <c r="A5" s="5" t="s">
        <v>68</v>
      </c>
      <c r="B5" s="7" t="n">
        <f aca="false">Costs!B9</f>
        <v>3530000</v>
      </c>
      <c r="C5" s="7" t="n">
        <f aca="false">Costs!C9</f>
        <v>11422925</v>
      </c>
      <c r="D5" s="7" t="n">
        <f aca="false">Costs!D9</f>
        <v>29582500</v>
      </c>
      <c r="E5" s="7" t="n">
        <f aca="false">Costs!E9</f>
        <v>43492250</v>
      </c>
      <c r="F5" s="7" t="n">
        <f aca="false">Costs!F9</f>
        <v>52548750</v>
      </c>
    </row>
    <row r="6" customFormat="false" ht="15" hidden="false" customHeight="false" outlineLevel="0" collapsed="false">
      <c r="A6" s="18" t="s">
        <v>11</v>
      </c>
      <c r="B6" s="19" t="n">
        <f aca="false">B4-B5</f>
        <v>-3530000</v>
      </c>
      <c r="C6" s="19" t="n">
        <f aca="false">C4-C5</f>
        <v>-8268050</v>
      </c>
      <c r="D6" s="19" t="n">
        <f aca="false">D4-D5</f>
        <v>-4477250</v>
      </c>
      <c r="E6" s="19" t="n">
        <f aca="false">E4-E5</f>
        <v>2019575</v>
      </c>
      <c r="F6" s="19" t="n">
        <f aca="false">F4-F5</f>
        <v>14784125</v>
      </c>
    </row>
    <row r="7" customFormat="false" ht="15" hidden="false" customHeight="false" outlineLevel="0" collapsed="false">
      <c r="A7" s="5" t="s">
        <v>69</v>
      </c>
      <c r="B7" s="21" t="n">
        <f aca="false">IF(B4=0,0,B6/B4)</f>
        <v>0</v>
      </c>
      <c r="C7" s="21" t="n">
        <f aca="false">IF(C4=0,0,C6/C4)</f>
        <v>-2.62072189864892</v>
      </c>
      <c r="D7" s="21" t="n">
        <f aca="false">IF(D4=0,0,D6/D4)</f>
        <v>-0.178339192001673</v>
      </c>
      <c r="E7" s="21" t="n">
        <f aca="false">IF(E4=0,0,E6/E4)</f>
        <v>0.0443747311825004</v>
      </c>
      <c r="F7" s="21" t="n">
        <f aca="false">IF(F4=0,0,F6/F4)</f>
        <v>0.219567707453454</v>
      </c>
    </row>
    <row r="8" customFormat="false" ht="15" hidden="false" customHeight="false" outlineLevel="0" collapsed="false">
      <c r="A8" s="5" t="s">
        <v>65</v>
      </c>
      <c r="B8" s="7" t="n">
        <f aca="false">Costs!B11</f>
        <v>4000000</v>
      </c>
      <c r="C8" s="7" t="n">
        <f aca="false">Costs!C11</f>
        <v>2700000</v>
      </c>
      <c r="D8" s="7" t="n">
        <f aca="false">Costs!D11</f>
        <v>4000000</v>
      </c>
      <c r="E8" s="7" t="n">
        <f aca="false">Costs!E11</f>
        <v>5000000</v>
      </c>
      <c r="F8" s="7" t="n">
        <f aca="false">Costs!F11</f>
        <v>4000000</v>
      </c>
    </row>
    <row r="9" customFormat="false" ht="15" hidden="false" customHeight="false" outlineLevel="0" collapsed="false">
      <c r="A9" s="5" t="s">
        <v>70</v>
      </c>
      <c r="B9" s="17" t="n">
        <f aca="false">B6-B8</f>
        <v>-7530000</v>
      </c>
      <c r="C9" s="17" t="n">
        <f aca="false">C6-C8</f>
        <v>-10968050</v>
      </c>
      <c r="D9" s="17" t="n">
        <f aca="false">D6-D8</f>
        <v>-8477250</v>
      </c>
      <c r="E9" s="17" t="n">
        <f aca="false">E6-E8</f>
        <v>-2980425</v>
      </c>
      <c r="F9" s="17" t="n">
        <f aca="false">F6-F8</f>
        <v>10784125</v>
      </c>
    </row>
    <row r="10" customFormat="false" ht="15" hidden="false" customHeight="false" outlineLevel="0" collapsed="false">
      <c r="A10" s="22" t="s">
        <v>71</v>
      </c>
      <c r="B10" s="23" t="n">
        <f aca="false">B9</f>
        <v>-7530000</v>
      </c>
      <c r="C10" s="23" t="n">
        <f aca="false">B10+C9</f>
        <v>-18498050</v>
      </c>
      <c r="D10" s="23" t="n">
        <f aca="false">C10+D9</f>
        <v>-26975300</v>
      </c>
      <c r="E10" s="23" t="n">
        <f aca="false">D10+E9</f>
        <v>-29955725</v>
      </c>
      <c r="F10" s="23" t="n">
        <f aca="false">E10+F9</f>
        <v>-19171600</v>
      </c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</row>
    <row r="13" customFormat="false" ht="15" hidden="false" customHeight="false" outlineLevel="0" collapsed="false">
      <c r="A13" s="10" t="s">
        <v>14</v>
      </c>
      <c r="F13" s="11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6" min="2" style="0" width="14"/>
  </cols>
  <sheetData>
    <row r="1" customFormat="false" ht="18.55" hidden="false" customHeight="false" outlineLevel="0" collapsed="false">
      <c r="A1" s="1" t="s">
        <v>72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</row>
    <row r="3" customFormat="false" ht="44" hidden="false" customHeight="false" outlineLevel="0" collapsed="false">
      <c r="A3" s="4" t="s">
        <v>73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customFormat="false" ht="29.85" hidden="false" customHeight="false" outlineLevel="0" collapsed="false">
      <c r="A4" s="5" t="s">
        <v>74</v>
      </c>
      <c r="B4" s="7" t="n">
        <f aca="false">'P&amp;L'!B4</f>
        <v>0</v>
      </c>
      <c r="C4" s="7" t="n">
        <f aca="false">'P&amp;L'!C4</f>
        <v>3154875</v>
      </c>
      <c r="D4" s="7" t="n">
        <f aca="false">'P&amp;L'!D4</f>
        <v>25105250</v>
      </c>
      <c r="E4" s="7" t="n">
        <f aca="false">'P&amp;L'!E4</f>
        <v>45511825</v>
      </c>
      <c r="F4" s="7" t="n">
        <f aca="false">'P&amp;L'!F4</f>
        <v>67332875</v>
      </c>
    </row>
    <row r="5" customFormat="false" ht="29.85" hidden="false" customHeight="false" outlineLevel="0" collapsed="false">
      <c r="A5" s="5" t="s">
        <v>75</v>
      </c>
      <c r="B5" s="20" t="n">
        <v>0</v>
      </c>
      <c r="C5" s="20" t="n">
        <v>1500000</v>
      </c>
      <c r="D5" s="20" t="n">
        <v>12000000</v>
      </c>
      <c r="E5" s="20" t="n">
        <v>22000000</v>
      </c>
      <c r="F5" s="20" t="n">
        <v>38000000</v>
      </c>
    </row>
    <row r="6" customFormat="false" ht="29.85" hidden="false" customHeight="false" outlineLevel="0" collapsed="false">
      <c r="A6" s="5" t="s">
        <v>76</v>
      </c>
      <c r="B6" s="20" t="n">
        <v>0</v>
      </c>
      <c r="C6" s="20" t="n">
        <v>5000000</v>
      </c>
      <c r="D6" s="20" t="n">
        <v>90000000</v>
      </c>
      <c r="E6" s="20" t="n">
        <v>200000000</v>
      </c>
      <c r="F6" s="20" t="n">
        <v>330000000</v>
      </c>
    </row>
    <row r="7" customFormat="false" ht="15" hidden="false" customHeight="false" outlineLevel="0" collapsed="false">
      <c r="A7" s="5" t="s">
        <v>77</v>
      </c>
      <c r="B7" s="7" t="n">
        <f aca="false">'P&amp;L'!B6</f>
        <v>-3530000</v>
      </c>
      <c r="C7" s="7" t="n">
        <f aca="false">'P&amp;L'!C6</f>
        <v>-8268050</v>
      </c>
      <c r="D7" s="7" t="n">
        <f aca="false">'P&amp;L'!D6</f>
        <v>-4477250</v>
      </c>
      <c r="E7" s="7" t="n">
        <f aca="false">'P&amp;L'!E6</f>
        <v>2019575</v>
      </c>
      <c r="F7" s="7" t="n">
        <f aca="false">'P&amp;L'!F6</f>
        <v>14784125</v>
      </c>
    </row>
    <row r="8" customFormat="false" ht="15" hidden="false" customHeight="false" outlineLevel="0" collapsed="false">
      <c r="A8" s="5" t="s">
        <v>78</v>
      </c>
      <c r="B8" s="20" t="n">
        <v>-3000000</v>
      </c>
      <c r="C8" s="20" t="n">
        <v>-6000000</v>
      </c>
      <c r="D8" s="20" t="n">
        <v>-2000000</v>
      </c>
      <c r="E8" s="20" t="n">
        <v>2000000</v>
      </c>
      <c r="F8" s="20" t="n">
        <v>8000000</v>
      </c>
    </row>
    <row r="9" customFormat="false" ht="15" hidden="false" customHeight="false" outlineLevel="0" collapsed="false">
      <c r="A9" s="5" t="s">
        <v>79</v>
      </c>
      <c r="B9" s="20" t="n">
        <v>-3000000</v>
      </c>
      <c r="C9" s="20" t="n">
        <v>-7000000</v>
      </c>
      <c r="D9" s="20" t="n">
        <v>20000000</v>
      </c>
      <c r="E9" s="20" t="n">
        <v>70000000</v>
      </c>
      <c r="F9" s="20" t="n">
        <v>150000000</v>
      </c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</row>
    <row r="11" customFormat="false" ht="15" hidden="false" customHeight="false" outlineLevel="0" collapsed="false">
      <c r="A11" s="3" t="s">
        <v>80</v>
      </c>
      <c r="B11" s="2"/>
      <c r="C11" s="2"/>
      <c r="D11" s="2"/>
      <c r="E11" s="2"/>
      <c r="F11" s="2"/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</row>
    <row r="14" customFormat="false" ht="15" hidden="false" customHeight="false" outlineLevel="0" collapsed="false">
      <c r="A14" s="10" t="s">
        <v>14</v>
      </c>
      <c r="F14" s="11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6" min="2" style="0" width="14"/>
  </cols>
  <sheetData>
    <row r="1" customFormat="false" ht="18.55" hidden="false" customHeight="false" outlineLevel="0" collapsed="false">
      <c r="A1" s="1" t="s">
        <v>81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 t="s">
        <v>82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</row>
    <row r="4" customFormat="false" ht="44" hidden="false" customHeight="false" outlineLevel="0" collapsed="false">
      <c r="A4" s="4" t="s">
        <v>83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customFormat="false" ht="15" hidden="false" customHeight="false" outlineLevel="0" collapsed="false">
      <c r="A5" s="18" t="s">
        <v>84</v>
      </c>
      <c r="B5" s="19" t="n">
        <f aca="false">Scenarios!B4*Drivers!B34</f>
        <v>0</v>
      </c>
      <c r="C5" s="19" t="n">
        <f aca="false">Scenarios!C4*Drivers!B34</f>
        <v>12619500</v>
      </c>
      <c r="D5" s="19" t="n">
        <f aca="false">Scenarios!D4*Drivers!B34</f>
        <v>100421000</v>
      </c>
      <c r="E5" s="19" t="n">
        <f aca="false">Scenarios!E4*Drivers!B34</f>
        <v>182047300</v>
      </c>
      <c r="F5" s="19" t="n">
        <f aca="false">Scenarios!F4*Drivers!B34</f>
        <v>269331500</v>
      </c>
    </row>
    <row r="6" customFormat="false" ht="15" hidden="false" customHeight="false" outlineLevel="0" collapsed="false">
      <c r="A6" s="5" t="s">
        <v>85</v>
      </c>
      <c r="B6" s="17" t="n">
        <f aca="false">Scenarios!B6*Drivers!B34</f>
        <v>0</v>
      </c>
      <c r="C6" s="17" t="n">
        <f aca="false">Scenarios!C6*Drivers!B34</f>
        <v>20000000</v>
      </c>
      <c r="D6" s="17" t="n">
        <f aca="false">Scenarios!D6*Drivers!B34</f>
        <v>360000000</v>
      </c>
      <c r="E6" s="17" t="n">
        <f aca="false">Scenarios!E6*Drivers!B34</f>
        <v>800000000</v>
      </c>
      <c r="F6" s="17" t="n">
        <f aca="false">Scenarios!F6*Drivers!B34</f>
        <v>1320000000</v>
      </c>
    </row>
    <row r="7" customFormat="false" ht="29.85" hidden="false" customHeight="false" outlineLevel="0" collapsed="false">
      <c r="A7" s="5" t="s">
        <v>86</v>
      </c>
      <c r="B7" s="17" t="n">
        <f aca="false">IF(Scenarios!B7&gt;0,Scenarios!B7*Drivers!B35,0)</f>
        <v>0</v>
      </c>
      <c r="C7" s="17" t="n">
        <f aca="false">IF(Scenarios!C7&gt;0,Scenarios!C7*Drivers!B35,0)</f>
        <v>0</v>
      </c>
      <c r="D7" s="17" t="n">
        <f aca="false">IF(Scenarios!D7&gt;0,Scenarios!D7*Drivers!B35,0)</f>
        <v>0</v>
      </c>
      <c r="E7" s="17" t="n">
        <f aca="false">IF(Scenarios!E7&gt;0,Scenarios!E7*Drivers!B35,0)</f>
        <v>36352350</v>
      </c>
      <c r="F7" s="17" t="n">
        <f aca="false">IF(Scenarios!F7&gt;0,Scenarios!F7*Drivers!B35,0)</f>
        <v>266114250</v>
      </c>
    </row>
    <row r="8" customFormat="false" ht="15" hidden="false" customHeight="false" outlineLevel="0" collapsed="false">
      <c r="A8" s="2"/>
      <c r="B8" s="2"/>
      <c r="C8" s="2"/>
      <c r="D8" s="2"/>
      <c r="E8" s="2"/>
      <c r="F8" s="2"/>
    </row>
    <row r="9" customFormat="false" ht="29.85" hidden="false" customHeight="false" outlineLevel="0" collapsed="false">
      <c r="A9" s="5" t="s">
        <v>87</v>
      </c>
      <c r="B9" s="17"/>
      <c r="C9" s="17"/>
      <c r="D9" s="17"/>
      <c r="E9" s="17"/>
      <c r="F9" s="17" t="n">
        <f aca="false">F5*Drivers!B37</f>
        <v>80799450</v>
      </c>
    </row>
    <row r="10" customFormat="false" ht="29.85" hidden="false" customHeight="false" outlineLevel="0" collapsed="false">
      <c r="A10" s="5" t="s">
        <v>88</v>
      </c>
      <c r="B10" s="24"/>
      <c r="C10" s="24"/>
      <c r="D10" s="24"/>
      <c r="E10" s="24"/>
      <c r="F10" s="24" t="n">
        <f aca="false">F9/(Drivers!B36*1000000)</f>
        <v>2.30855571428571</v>
      </c>
    </row>
    <row r="11" customFormat="false" ht="15" hidden="false" customHeight="false" outlineLevel="0" collapsed="false">
      <c r="A11" s="2"/>
      <c r="B11" s="2"/>
      <c r="C11" s="2"/>
      <c r="D11" s="2"/>
      <c r="E11" s="2"/>
      <c r="F11" s="2"/>
    </row>
    <row r="12" customFormat="false" ht="15" hidden="false" customHeight="false" outlineLevel="0" collapsed="false">
      <c r="A12" s="3" t="s">
        <v>89</v>
      </c>
      <c r="B12" s="2"/>
      <c r="C12" s="2"/>
      <c r="D12" s="2"/>
      <c r="E12" s="2"/>
      <c r="F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</row>
    <row r="15" customFormat="false" ht="15" hidden="false" customHeight="false" outlineLevel="0" collapsed="false">
      <c r="A15" s="10" t="s">
        <v>14</v>
      </c>
      <c r="F15" s="11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4"/>
    <col collapsed="false" customWidth="true" hidden="false" outlineLevel="0" max="3" min="3" style="0" width="30"/>
    <col collapsed="false" customWidth="true" hidden="false" outlineLevel="0" max="4" min="4" style="0" width="20"/>
    <col collapsed="false" customWidth="true" hidden="false" outlineLevel="0" max="5" min="5" style="0" width="10"/>
  </cols>
  <sheetData>
    <row r="1" customFormat="false" ht="18.55" hidden="false" customHeight="false" outlineLevel="0" collapsed="false">
      <c r="A1" s="1" t="s">
        <v>90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</row>
    <row r="3" customFormat="false" ht="15" hidden="false" customHeight="false" outlineLevel="0" collapsed="false">
      <c r="A3" s="4" t="s">
        <v>49</v>
      </c>
      <c r="B3" s="4" t="s">
        <v>91</v>
      </c>
      <c r="C3" s="4" t="s">
        <v>92</v>
      </c>
      <c r="D3" s="4" t="s">
        <v>93</v>
      </c>
      <c r="E3" s="4" t="s">
        <v>94</v>
      </c>
      <c r="F3" s="2"/>
    </row>
    <row r="4" customFormat="false" ht="44" hidden="false" customHeight="false" outlineLevel="0" collapsed="false">
      <c r="A4" s="25" t="s">
        <v>95</v>
      </c>
      <c r="B4" s="5" t="s">
        <v>96</v>
      </c>
      <c r="C4" s="5" t="s">
        <v>97</v>
      </c>
      <c r="D4" s="5" t="s">
        <v>98</v>
      </c>
      <c r="E4" s="5" t="s">
        <v>99</v>
      </c>
      <c r="F4" s="2"/>
    </row>
    <row r="5" customFormat="false" ht="29.85" hidden="false" customHeight="false" outlineLevel="0" collapsed="false">
      <c r="A5" s="25" t="s">
        <v>100</v>
      </c>
      <c r="B5" s="5" t="s">
        <v>101</v>
      </c>
      <c r="C5" s="5" t="s">
        <v>102</v>
      </c>
      <c r="D5" s="5" t="s">
        <v>103</v>
      </c>
      <c r="E5" s="5" t="s">
        <v>104</v>
      </c>
      <c r="F5" s="2"/>
    </row>
    <row r="6" customFormat="false" ht="44" hidden="false" customHeight="false" outlineLevel="0" collapsed="false">
      <c r="A6" s="25" t="s">
        <v>53</v>
      </c>
      <c r="B6" s="5" t="s">
        <v>105</v>
      </c>
      <c r="C6" s="5" t="s">
        <v>106</v>
      </c>
      <c r="D6" s="5" t="s">
        <v>107</v>
      </c>
      <c r="E6" s="5" t="s">
        <v>108</v>
      </c>
      <c r="F6" s="2"/>
    </row>
    <row r="7" customFormat="false" ht="15" hidden="false" customHeight="false" outlineLevel="0" collapsed="false">
      <c r="A7" s="25" t="s">
        <v>109</v>
      </c>
      <c r="B7" s="5" t="s">
        <v>110</v>
      </c>
      <c r="C7" s="5" t="s">
        <v>111</v>
      </c>
      <c r="D7" s="5" t="s">
        <v>112</v>
      </c>
      <c r="E7" s="5" t="s">
        <v>113</v>
      </c>
      <c r="F7" s="2"/>
    </row>
    <row r="8" customFormat="false" ht="15" hidden="false" customHeight="false" outlineLevel="0" collapsed="false">
      <c r="A8" s="25" t="s">
        <v>114</v>
      </c>
      <c r="B8" s="5" t="s">
        <v>115</v>
      </c>
      <c r="C8" s="5" t="s">
        <v>116</v>
      </c>
      <c r="D8" s="5" t="s">
        <v>112</v>
      </c>
      <c r="E8" s="5" t="s">
        <v>117</v>
      </c>
      <c r="F8" s="2"/>
    </row>
    <row r="9" customFormat="false" ht="15" hidden="false" customHeight="false" outlineLevel="0" collapsed="false">
      <c r="A9" s="2"/>
      <c r="B9" s="2"/>
      <c r="C9" s="2"/>
      <c r="D9" s="2"/>
      <c r="E9" s="2"/>
      <c r="F9" s="2"/>
    </row>
    <row r="11" customFormat="false" ht="15" hidden="false" customHeight="false" outlineLevel="0" collapsed="false">
      <c r="A11" s="10" t="s">
        <v>14</v>
      </c>
      <c r="F11" s="11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3" min="2" style="0" width="14"/>
    <col collapsed="false" customWidth="true" hidden="false" outlineLevel="0" max="4" min="4" style="0" width="16"/>
    <col collapsed="false" customWidth="true" hidden="false" outlineLevel="0" max="5" min="5" style="0" width="14"/>
    <col collapsed="false" customWidth="true" hidden="false" outlineLevel="0" max="6" min="6" style="0" width="20"/>
  </cols>
  <sheetData>
    <row r="1" customFormat="false" ht="18.55" hidden="false" customHeight="false" outlineLevel="0" collapsed="false">
      <c r="A1" s="1" t="s">
        <v>118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 t="s">
        <v>119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</row>
    <row r="4" customFormat="false" ht="29.85" hidden="false" customHeight="false" outlineLevel="0" collapsed="false">
      <c r="A4" s="4" t="s">
        <v>120</v>
      </c>
      <c r="B4" s="4" t="s">
        <v>121</v>
      </c>
      <c r="C4" s="4" t="s">
        <v>122</v>
      </c>
      <c r="D4" s="4" t="s">
        <v>123</v>
      </c>
      <c r="E4" s="4" t="s">
        <v>124</v>
      </c>
      <c r="F4" s="4" t="s">
        <v>125</v>
      </c>
    </row>
    <row r="5" customFormat="false" ht="15" hidden="false" customHeight="false" outlineLevel="0" collapsed="false">
      <c r="A5" s="26" t="s">
        <v>126</v>
      </c>
      <c r="B5" s="27" t="s">
        <v>127</v>
      </c>
      <c r="C5" s="15" t="n">
        <v>0.6</v>
      </c>
      <c r="D5" s="15" t="n">
        <v>4.5</v>
      </c>
      <c r="E5" s="27" t="s">
        <v>128</v>
      </c>
      <c r="F5" s="21" t="n">
        <f aca="false">C5/D5</f>
        <v>0.133333333333333</v>
      </c>
    </row>
    <row r="6" customFormat="false" ht="15" hidden="false" customHeight="false" outlineLevel="0" collapsed="false">
      <c r="A6" s="26" t="s">
        <v>129</v>
      </c>
      <c r="B6" s="27" t="s">
        <v>130</v>
      </c>
      <c r="C6" s="15" t="n">
        <v>6</v>
      </c>
      <c r="D6" s="15" t="n">
        <v>12</v>
      </c>
      <c r="E6" s="28" t="n">
        <f aca="false">C6+D6</f>
        <v>18</v>
      </c>
      <c r="F6" s="21" t="n">
        <f aca="false">C6/E6</f>
        <v>0.333333333333333</v>
      </c>
    </row>
    <row r="7" customFormat="false" ht="15" hidden="false" customHeight="false" outlineLevel="0" collapsed="false">
      <c r="A7" s="26" t="s">
        <v>131</v>
      </c>
      <c r="B7" s="27" t="s">
        <v>132</v>
      </c>
      <c r="C7" s="15" t="n">
        <v>10.7</v>
      </c>
      <c r="D7" s="27" t="s">
        <v>128</v>
      </c>
      <c r="E7" s="27" t="s">
        <v>128</v>
      </c>
      <c r="F7" s="21" t="n">
        <v>0</v>
      </c>
    </row>
    <row r="8" customFormat="false" ht="15" hidden="false" customHeight="false" outlineLevel="0" collapsed="false">
      <c r="A8" s="26" t="s">
        <v>133</v>
      </c>
      <c r="B8" s="27" t="s">
        <v>134</v>
      </c>
      <c r="C8" s="15" t="n">
        <v>11</v>
      </c>
      <c r="D8" s="27" t="s">
        <v>128</v>
      </c>
      <c r="E8" s="27" t="s">
        <v>128</v>
      </c>
      <c r="F8" s="21" t="n">
        <v>0</v>
      </c>
    </row>
    <row r="9" customFormat="false" ht="15" hidden="false" customHeight="false" outlineLevel="0" collapsed="false">
      <c r="A9" s="26" t="s">
        <v>135</v>
      </c>
      <c r="B9" s="27" t="s">
        <v>130</v>
      </c>
      <c r="C9" s="15" t="n">
        <v>20</v>
      </c>
      <c r="D9" s="15" t="n">
        <v>80</v>
      </c>
      <c r="E9" s="28" t="n">
        <f aca="false">C9+D9</f>
        <v>100</v>
      </c>
      <c r="F9" s="21" t="n">
        <f aca="false">C9/E9</f>
        <v>0.2</v>
      </c>
    </row>
    <row r="10" customFormat="false" ht="15" hidden="false" customHeight="false" outlineLevel="0" collapsed="false">
      <c r="A10" s="29" t="s">
        <v>136</v>
      </c>
      <c r="B10" s="30"/>
      <c r="C10" s="31" t="n">
        <f aca="false">C5+C6+C7+C8+C9</f>
        <v>48.3</v>
      </c>
      <c r="D10" s="30"/>
      <c r="E10" s="30"/>
      <c r="F10" s="30"/>
    </row>
    <row r="11" customFormat="false" ht="15" hidden="false" customHeight="false" outlineLevel="0" collapsed="false">
      <c r="A11" s="32" t="s">
        <v>137</v>
      </c>
      <c r="B11" s="2"/>
      <c r="C11" s="28" t="n">
        <f aca="false">C5+C6+C9</f>
        <v>26.6</v>
      </c>
      <c r="D11" s="2"/>
      <c r="E11" s="2"/>
      <c r="F11" s="2"/>
    </row>
    <row r="12" customFormat="false" ht="15" hidden="false" customHeight="false" outlineLevel="0" collapsed="false">
      <c r="A12" s="2"/>
      <c r="B12" s="2"/>
      <c r="C12" s="2"/>
      <c r="D12" s="2"/>
      <c r="E12" s="2"/>
      <c r="F12" s="2"/>
    </row>
    <row r="13" customFormat="false" ht="15" hidden="false" customHeight="false" outlineLevel="0" collapsed="false">
      <c r="A13" s="13" t="s">
        <v>138</v>
      </c>
      <c r="B13" s="2"/>
      <c r="C13" s="2"/>
      <c r="D13" s="2"/>
      <c r="E13" s="2"/>
      <c r="F13" s="2"/>
    </row>
    <row r="14" customFormat="false" ht="29.85" hidden="false" customHeight="false" outlineLevel="0" collapsed="false">
      <c r="A14" s="4" t="s">
        <v>139</v>
      </c>
      <c r="B14" s="4" t="s">
        <v>140</v>
      </c>
      <c r="C14" s="4" t="s">
        <v>141</v>
      </c>
      <c r="D14" s="4" t="s">
        <v>142</v>
      </c>
      <c r="E14" s="4" t="s">
        <v>143</v>
      </c>
      <c r="F14" s="4" t="s">
        <v>144</v>
      </c>
    </row>
    <row r="15" customFormat="false" ht="15" hidden="false" customHeight="false" outlineLevel="0" collapsed="false">
      <c r="A15" s="26" t="s">
        <v>145</v>
      </c>
      <c r="B15" s="21" t="n">
        <f aca="false">(1-C5/D5)*(D6/(D6+C6))*(D9/(D9+C9))</f>
        <v>0.462222222222222</v>
      </c>
      <c r="C15" s="27" t="s">
        <v>128</v>
      </c>
      <c r="D15" s="17" t="n">
        <f aca="false">B15*Valuation!F5</f>
        <v>124491004.444444</v>
      </c>
      <c r="E15" s="17" t="n">
        <f aca="false">B15*Valuation!F6</f>
        <v>610133333.333333</v>
      </c>
      <c r="F15" s="27" t="s">
        <v>128</v>
      </c>
    </row>
    <row r="16" customFormat="false" ht="15" hidden="false" customHeight="false" outlineLevel="0" collapsed="false">
      <c r="A16" s="26" t="s">
        <v>126</v>
      </c>
      <c r="B16" s="21" t="n">
        <f aca="false">(C5/D5)*(D6/(D6+C6))*(D9/(D9+C9))</f>
        <v>0.0711111111111111</v>
      </c>
      <c r="C16" s="15" t="n">
        <v>0.6</v>
      </c>
      <c r="D16" s="17" t="n">
        <f aca="false">B16*Valuation!F5</f>
        <v>19152462.2222222</v>
      </c>
      <c r="E16" s="17" t="n">
        <f aca="false">B16*Valuation!F6</f>
        <v>93866666.6666667</v>
      </c>
      <c r="F16" s="27" t="str">
        <f aca="false">TEXT(D16/(C16*1000000),"0.0")&amp;"x / "&amp;TEXT(E16/(C16*1000000),"0.0")&amp;"x"</f>
        <v>31.9x / 156.4x</v>
      </c>
    </row>
    <row r="17" customFormat="false" ht="15" hidden="false" customHeight="false" outlineLevel="0" collapsed="false">
      <c r="A17" s="26" t="s">
        <v>146</v>
      </c>
      <c r="B17" s="21" t="n">
        <f aca="false">(C6/(D6+C6))*(D9/(D9+C9))</f>
        <v>0.266666666666667</v>
      </c>
      <c r="C17" s="15" t="n">
        <v>6</v>
      </c>
      <c r="D17" s="17" t="n">
        <f aca="false">B17*Valuation!F5</f>
        <v>71821733.3333333</v>
      </c>
      <c r="E17" s="17" t="n">
        <f aca="false">B17*Valuation!F6</f>
        <v>352000000</v>
      </c>
      <c r="F17" s="27" t="str">
        <f aca="false">TEXT(D17/(C17*1000000),"0.0")&amp;"x / "&amp;TEXT(E17/(C17*1000000),"0.0")&amp;"x"</f>
        <v>12.0x / 58.7x</v>
      </c>
    </row>
    <row r="18" customFormat="false" ht="15" hidden="false" customHeight="false" outlineLevel="0" collapsed="false">
      <c r="A18" s="26" t="s">
        <v>147</v>
      </c>
      <c r="B18" s="21" t="n">
        <f aca="false">C9/(D9+C9)</f>
        <v>0.2</v>
      </c>
      <c r="C18" s="15" t="n">
        <v>20</v>
      </c>
      <c r="D18" s="17" t="n">
        <f aca="false">B18*Valuation!F5</f>
        <v>53866300</v>
      </c>
      <c r="E18" s="17" t="n">
        <f aca="false">B18*Valuation!F6</f>
        <v>264000000</v>
      </c>
      <c r="F18" s="27" t="str">
        <f aca="false">TEXT(D18/(C18*1000000),"0.0")&amp;"x / "&amp;TEXT(E18/(C18*1000000),"0.0")&amp;"x"</f>
        <v>2.7x / 13.2x</v>
      </c>
    </row>
    <row r="19" customFormat="false" ht="15" hidden="false" customHeight="false" outlineLevel="0" collapsed="false">
      <c r="A19" s="29" t="s">
        <v>148</v>
      </c>
      <c r="B19" s="33" t="n">
        <f aca="false">B15+B16+B17+B18</f>
        <v>1</v>
      </c>
      <c r="C19" s="30"/>
      <c r="D19" s="30"/>
      <c r="E19" s="30"/>
      <c r="F19" s="30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</row>
    <row r="21" customFormat="false" ht="23.85" hidden="false" customHeight="true" outlineLevel="0" collapsed="false">
      <c r="A21" s="34" t="s">
        <v>149</v>
      </c>
      <c r="B21" s="34"/>
      <c r="C21" s="34"/>
      <c r="D21" s="34"/>
      <c r="E21" s="34"/>
      <c r="F21" s="34"/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</row>
    <row r="24" customFormat="false" ht="15" hidden="false" customHeight="false" outlineLevel="0" collapsed="false">
      <c r="A24" s="10" t="s">
        <v>14</v>
      </c>
      <c r="F24" s="11" t="s">
        <v>15</v>
      </c>
    </row>
  </sheetData>
  <mergeCells count="1">
    <mergeCell ref="A21:F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LibreOffice/26.2.3.2$MacOSX_AARCH64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2026-06-04T20:03:05Z</dcterms:created>
  <dc:creator>openpyxl</dc:creator>
  <dc:description/>
  <dc:language>en-US</dc:language>
  <cp:lastModifiedBy/>
  <dcterms:modified xsi:type="dcterms:W3CDTF">2026-06-04T20:03:05Z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